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tiff" ContentType="image/tiff"/>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xl/embeddings/oleObject3.bin" ContentType="application/vnd.openxmlformats-officedocument.oleObject"/>
  <Override PartName="/xl/drawings/drawing3.xml" ContentType="application/vnd.openxmlformats-officedocument.drawing+xml"/>
  <Override PartName="/xl/embeddings/oleObject4.bin" ContentType="application/vnd.openxmlformats-officedocument.oleObject"/>
  <Override PartName="/xl/drawings/drawing4.xml" ContentType="application/vnd.openxmlformats-officedocument.drawing+xml"/>
  <Override PartName="/xl/embeddings/oleObject5.bin" ContentType="application/vnd.openxmlformats-officedocument.oleObject"/>
  <Override PartName="/xl/embeddings/oleObject6.bin" ContentType="application/vnd.openxmlformats-officedocument.oleObject"/>
  <Override PartName="/xl/drawings/drawing5.xml" ContentType="application/vnd.openxmlformats-officedocument.drawing+xml"/>
  <Override PartName="/xl/embeddings/oleObject7.bin" ContentType="application/vnd.openxmlformats-officedocument.oleObject"/>
  <Override PartName="/xl/drawings/drawing6.xml" ContentType="application/vnd.openxmlformats-officedocument.drawing+xml"/>
  <Override PartName="/xl/embeddings/oleObject8.bin" ContentType="application/vnd.openxmlformats-officedocument.oleObject"/>
  <Override PartName="/xl/drawings/drawing7.xml" ContentType="application/vnd.openxmlformats-officedocument.drawing+xml"/>
  <Override PartName="/xl/embeddings/oleObject9.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ctrlProps/ctrlProp6.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299B7C88-53D3-46AB-AFB6-6378BCF85B78}" xr6:coauthVersionLast="47" xr6:coauthVersionMax="47" xr10:uidLastSave="{00000000-0000-0000-0000-000000000000}"/>
  <bookViews>
    <workbookView xWindow="-120" yWindow="-120" windowWidth="29040" windowHeight="15720" firstSheet="4" activeTab="5" xr2:uid="{00000000-000D-0000-FFFF-FFFF00000000}"/>
  </bookViews>
  <sheets>
    <sheet name="SQ new" sheetId="7" state="hidden" r:id="rId1"/>
    <sheet name="SQ old" sheetId="1" state="hidden" r:id="rId2"/>
    <sheet name="SF" sheetId="2" state="hidden" r:id="rId3"/>
    <sheet name="SE" sheetId="5" state="hidden" r:id="rId4"/>
    <sheet name="ST GR" sheetId="9" r:id="rId5"/>
    <sheet name="ST EN" sheetId="6" r:id="rId6"/>
    <sheet name="SK" sheetId="8" state="hidden" r:id="rId7"/>
  </sheets>
  <definedNames>
    <definedName name="Z_947B752F_E4E5_4C5C_81CB_1317F626B06B_.wvu.Cols" localSheetId="3" hidden="1">SE!$G:$J</definedName>
    <definedName name="Z_947B752F_E4E5_4C5C_81CB_1317F626B06B_.wvu.Cols" localSheetId="2" hidden="1">SF!$G:$J</definedName>
    <definedName name="Z_947B752F_E4E5_4C5C_81CB_1317F626B06B_.wvu.Cols" localSheetId="0" hidden="1">'SQ new'!$G:$J</definedName>
    <definedName name="Z_947B752F_E4E5_4C5C_81CB_1317F626B06B_.wvu.Cols" localSheetId="1" hidden="1">'SQ old'!$G:$J</definedName>
    <definedName name="Z_947B752F_E4E5_4C5C_81CB_1317F626B06B_.wvu.Cols" localSheetId="5" hidden="1">'ST EN'!$H:$K</definedName>
    <definedName name="Z_947B752F_E4E5_4C5C_81CB_1317F626B06B_.wvu.Cols" localSheetId="4" hidden="1">'ST GR'!$H:$K</definedName>
  </definedNames>
  <calcPr calcId="191029" iterateCount="1"/>
  <customWorkbookViews>
    <customWorkbookView name="DTC" guid="{947B752F-E4E5-4C5C-81CB-1317F626B06B}" maximized="1" xWindow="-11" yWindow="-11" windowWidth="3862" windowHeight="2122" activeSheetId="1"/>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9" l="1"/>
  <c r="J9" i="9"/>
  <c r="J10" i="9"/>
  <c r="J11" i="9"/>
  <c r="K11" i="9"/>
  <c r="K10" i="9" s="1"/>
  <c r="K9" i="9" s="1"/>
  <c r="C13" i="9" s="1"/>
  <c r="J12" i="9"/>
  <c r="D13" i="9"/>
  <c r="J13" i="9"/>
  <c r="J14" i="9"/>
  <c r="J15" i="9"/>
  <c r="J16" i="9"/>
  <c r="K16" i="9"/>
  <c r="K15" i="9" s="1"/>
  <c r="K14" i="9" s="1"/>
  <c r="K13" i="9" s="1"/>
  <c r="K12" i="9" s="1"/>
  <c r="I17" i="9" l="1"/>
  <c r="G16" i="9" s="1"/>
  <c r="I19" i="9"/>
  <c r="G18" i="9" s="1"/>
  <c r="I23" i="9"/>
  <c r="G22" i="9" s="1"/>
  <c r="I25" i="9"/>
  <c r="G24" i="9" s="1"/>
  <c r="I29" i="9"/>
  <c r="G28" i="9" s="1"/>
  <c r="H22" i="9"/>
  <c r="F21" i="9" s="1"/>
  <c r="H26" i="9"/>
  <c r="F25" i="9" s="1"/>
  <c r="H30" i="9"/>
  <c r="F29" i="9" s="1"/>
  <c r="I26" i="9"/>
  <c r="G25" i="9" s="1"/>
  <c r="I32" i="9"/>
  <c r="G31" i="9" s="1"/>
  <c r="I20" i="9"/>
  <c r="G19" i="9" s="1"/>
  <c r="H17" i="9"/>
  <c r="F16" i="9" s="1"/>
  <c r="H19" i="9"/>
  <c r="F18" i="9" s="1"/>
  <c r="H21" i="9"/>
  <c r="F20" i="9" s="1"/>
  <c r="H23" i="9"/>
  <c r="F22" i="9" s="1"/>
  <c r="H25" i="9"/>
  <c r="F24" i="9" s="1"/>
  <c r="H27" i="9"/>
  <c r="F26" i="9" s="1"/>
  <c r="H29" i="9"/>
  <c r="F28" i="9" s="1"/>
  <c r="H31" i="9"/>
  <c r="F30" i="9" s="1"/>
  <c r="H33" i="9"/>
  <c r="F32" i="9" s="1"/>
  <c r="I21" i="9"/>
  <c r="G20" i="9" s="1"/>
  <c r="I27" i="9"/>
  <c r="G26" i="9" s="1"/>
  <c r="I31" i="9"/>
  <c r="G30" i="9" s="1"/>
  <c r="I33" i="9"/>
  <c r="G32" i="9" s="1"/>
  <c r="H34" i="9"/>
  <c r="F33" i="9" s="1"/>
  <c r="I34" i="9"/>
  <c r="G33" i="9" s="1"/>
  <c r="H18" i="9"/>
  <c r="F17" i="9" s="1"/>
  <c r="H20" i="9"/>
  <c r="F19" i="9" s="1"/>
  <c r="H24" i="9"/>
  <c r="F23" i="9" s="1"/>
  <c r="H28" i="9"/>
  <c r="F27" i="9" s="1"/>
  <c r="H32" i="9"/>
  <c r="F31" i="9" s="1"/>
  <c r="I18" i="9"/>
  <c r="G17" i="9" s="1"/>
  <c r="I22" i="9"/>
  <c r="G21" i="9" s="1"/>
  <c r="I24" i="9"/>
  <c r="G23" i="9" s="1"/>
  <c r="I28" i="9"/>
  <c r="G27" i="9" s="1"/>
  <c r="I30" i="9"/>
  <c r="G29" i="9" s="1"/>
  <c r="D13" i="8" l="1"/>
  <c r="I38" i="8" s="1"/>
  <c r="L16" i="8"/>
  <c r="L15" i="8" s="1"/>
  <c r="L14" i="8" s="1"/>
  <c r="L13" i="8" s="1"/>
  <c r="L12" i="8" s="1"/>
  <c r="K16" i="8"/>
  <c r="K15" i="8"/>
  <c r="K14" i="8"/>
  <c r="K13" i="8"/>
  <c r="K12" i="8"/>
  <c r="K11" i="8"/>
  <c r="K10" i="8"/>
  <c r="K9" i="8"/>
  <c r="K8" i="8"/>
  <c r="I16" i="7"/>
  <c r="J16" i="7" s="1"/>
  <c r="J15" i="7" s="1"/>
  <c r="I15" i="7"/>
  <c r="I14" i="7"/>
  <c r="I13" i="7"/>
  <c r="I12" i="7"/>
  <c r="I11" i="7"/>
  <c r="I10" i="7"/>
  <c r="I9" i="7"/>
  <c r="I8" i="7"/>
  <c r="I37" i="7"/>
  <c r="I36" i="7"/>
  <c r="I35" i="7"/>
  <c r="I34" i="7"/>
  <c r="I33" i="7"/>
  <c r="I32" i="7"/>
  <c r="J14" i="7" l="1"/>
  <c r="J13" i="7" s="1"/>
  <c r="J12" i="7" s="1"/>
  <c r="J11" i="7" s="1"/>
  <c r="J10" i="7" s="1"/>
  <c r="J9" i="7" s="1"/>
  <c r="I35" i="8"/>
  <c r="F34" i="8" s="1"/>
  <c r="I36" i="8"/>
  <c r="F35" i="8" s="1"/>
  <c r="I37" i="8"/>
  <c r="F36" i="8" s="1"/>
  <c r="F37" i="8"/>
  <c r="L11" i="8"/>
  <c r="L10" i="8" s="1"/>
  <c r="L9" i="8" s="1"/>
  <c r="C13" i="8" s="1"/>
  <c r="I32" i="8" s="1"/>
  <c r="I31" i="7"/>
  <c r="I38" i="7"/>
  <c r="K16" i="6"/>
  <c r="K15" i="6" s="1"/>
  <c r="K14" i="6" s="1"/>
  <c r="K13" i="6" s="1"/>
  <c r="J16" i="6"/>
  <c r="J15" i="6"/>
  <c r="J14" i="6"/>
  <c r="J13" i="6"/>
  <c r="J12" i="6"/>
  <c r="J11" i="6"/>
  <c r="J10" i="6"/>
  <c r="J9" i="6"/>
  <c r="J8" i="6"/>
  <c r="I16" i="5"/>
  <c r="J16" i="5" s="1"/>
  <c r="J15" i="5" s="1"/>
  <c r="J14" i="5" s="1"/>
  <c r="J13" i="5" s="1"/>
  <c r="J12" i="5" s="1"/>
  <c r="J11" i="5" s="1"/>
  <c r="J10" i="5" s="1"/>
  <c r="J9" i="5" s="1"/>
  <c r="I15" i="5"/>
  <c r="I14" i="5"/>
  <c r="I13" i="5"/>
  <c r="I12" i="5"/>
  <c r="I11" i="5"/>
  <c r="I10" i="5"/>
  <c r="I9" i="5"/>
  <c r="I8" i="5"/>
  <c r="J16" i="2"/>
  <c r="J15" i="2" s="1"/>
  <c r="J14" i="2" s="1"/>
  <c r="J13" i="2" s="1"/>
  <c r="J12" i="2" s="1"/>
  <c r="J11" i="2" s="1"/>
  <c r="J10" i="2" s="1"/>
  <c r="I16" i="2"/>
  <c r="I15" i="2"/>
  <c r="I14" i="2"/>
  <c r="I13" i="2"/>
  <c r="I12" i="2"/>
  <c r="I11" i="2"/>
  <c r="I10" i="2"/>
  <c r="I9" i="2"/>
  <c r="I8" i="2"/>
  <c r="J16" i="1"/>
  <c r="J15" i="1" s="1"/>
  <c r="J14" i="1" s="1"/>
  <c r="J13" i="1" s="1"/>
  <c r="I16" i="1"/>
  <c r="I15" i="1"/>
  <c r="I14" i="1"/>
  <c r="I13" i="1"/>
  <c r="I12" i="1"/>
  <c r="I11" i="1"/>
  <c r="I10" i="1"/>
  <c r="I9" i="1"/>
  <c r="I8" i="1"/>
  <c r="I39" i="7"/>
  <c r="J39" i="7" s="1"/>
  <c r="J38" i="7" s="1"/>
  <c r="J37" i="7" s="1"/>
  <c r="J36" i="7" s="1"/>
  <c r="J35" i="7" s="1"/>
  <c r="J34" i="7" s="1"/>
  <c r="J33" i="7" s="1"/>
  <c r="J32" i="7" s="1"/>
  <c r="D13" i="6"/>
  <c r="I39" i="5"/>
  <c r="J39" i="5" s="1"/>
  <c r="J38" i="5" s="1"/>
  <c r="J37" i="5" s="1"/>
  <c r="I38" i="5"/>
  <c r="I37" i="5"/>
  <c r="I36" i="5"/>
  <c r="I35" i="5"/>
  <c r="I34" i="5"/>
  <c r="I33" i="5"/>
  <c r="J12" i="1" l="1"/>
  <c r="I28" i="8"/>
  <c r="F26" i="8" s="1"/>
  <c r="I24" i="8"/>
  <c r="F22" i="8" s="1"/>
  <c r="J19" i="8"/>
  <c r="G17" i="8" s="1"/>
  <c r="I31" i="8"/>
  <c r="F29" i="8" s="1"/>
  <c r="I27" i="8"/>
  <c r="F25" i="8" s="1"/>
  <c r="I23" i="8"/>
  <c r="F21" i="8" s="1"/>
  <c r="J18" i="8"/>
  <c r="G16" i="8" s="1"/>
  <c r="I21" i="8"/>
  <c r="F19" i="8" s="1"/>
  <c r="I25" i="8"/>
  <c r="F23" i="8" s="1"/>
  <c r="J30" i="8"/>
  <c r="G28" i="8" s="1"/>
  <c r="J26" i="8"/>
  <c r="G24" i="8" s="1"/>
  <c r="J22" i="8"/>
  <c r="G20" i="8" s="1"/>
  <c r="I19" i="8"/>
  <c r="F17" i="8" s="1"/>
  <c r="J29" i="8"/>
  <c r="G27" i="8" s="1"/>
  <c r="J25" i="8"/>
  <c r="G23" i="8" s="1"/>
  <c r="J21" i="8"/>
  <c r="G19" i="8" s="1"/>
  <c r="I18" i="8"/>
  <c r="F16" i="8" s="1"/>
  <c r="I30" i="8"/>
  <c r="F28" i="8" s="1"/>
  <c r="J33" i="8"/>
  <c r="G31" i="8" s="1"/>
  <c r="J28" i="8"/>
  <c r="G26" i="8" s="1"/>
  <c r="J24" i="8"/>
  <c r="G22" i="8" s="1"/>
  <c r="J20" i="8"/>
  <c r="G18" i="8" s="1"/>
  <c r="I26" i="8"/>
  <c r="F24" i="8" s="1"/>
  <c r="I20" i="8"/>
  <c r="F18" i="8" s="1"/>
  <c r="J32" i="8"/>
  <c r="G30" i="8" s="1"/>
  <c r="J27" i="8"/>
  <c r="G25" i="8" s="1"/>
  <c r="J23" i="8"/>
  <c r="G21" i="8" s="1"/>
  <c r="I22" i="8"/>
  <c r="F20" i="8" s="1"/>
  <c r="J31" i="8"/>
  <c r="G29" i="8" s="1"/>
  <c r="I29" i="8"/>
  <c r="F27" i="8" s="1"/>
  <c r="I33" i="8"/>
  <c r="F31" i="8" s="1"/>
  <c r="F30" i="8"/>
  <c r="K12" i="6"/>
  <c r="K11" i="6" s="1"/>
  <c r="K10" i="6" s="1"/>
  <c r="K9" i="6" s="1"/>
  <c r="C13" i="7"/>
  <c r="D13" i="7" s="1"/>
  <c r="J11" i="1"/>
  <c r="J10" i="1" s="1"/>
  <c r="J9" i="1" s="1"/>
  <c r="J9" i="2"/>
  <c r="C13" i="2" s="1"/>
  <c r="D13" i="2" s="1"/>
  <c r="C39" i="7"/>
  <c r="D39" i="7" s="1"/>
  <c r="G40" i="7" s="1"/>
  <c r="J36" i="5"/>
  <c r="J35" i="5" s="1"/>
  <c r="J34" i="5" s="1"/>
  <c r="C38" i="5" s="1"/>
  <c r="D38" i="5" s="1"/>
  <c r="G41" i="5" s="1"/>
  <c r="D40" i="5" s="1"/>
  <c r="G40" i="5" l="1"/>
  <c r="C40" i="5" s="1"/>
  <c r="H17" i="2"/>
  <c r="D15" i="2" s="1"/>
  <c r="G17" i="2"/>
  <c r="C15" i="2" s="1"/>
  <c r="G18" i="2"/>
  <c r="C16" i="2" s="1"/>
  <c r="H18" i="2"/>
  <c r="D16" i="2" s="1"/>
  <c r="H40" i="7"/>
  <c r="D41" i="7" s="1"/>
  <c r="C41" i="7"/>
  <c r="H41" i="7"/>
  <c r="D42" i="7" s="1"/>
  <c r="G41" i="7"/>
  <c r="C42" i="7" s="1"/>
  <c r="C13" i="6"/>
  <c r="C13" i="5"/>
  <c r="D13" i="5" s="1"/>
  <c r="G18" i="5" s="1"/>
  <c r="I34" i="6" l="1"/>
  <c r="G33" i="6" s="1"/>
  <c r="I26" i="6"/>
  <c r="G25" i="6" s="1"/>
  <c r="I18" i="6"/>
  <c r="G17" i="6" s="1"/>
  <c r="H28" i="6"/>
  <c r="F27" i="6" s="1"/>
  <c r="H20" i="6"/>
  <c r="F19" i="6" s="1"/>
  <c r="H24" i="6"/>
  <c r="F23" i="6" s="1"/>
  <c r="I33" i="6"/>
  <c r="G32" i="6" s="1"/>
  <c r="I25" i="6"/>
  <c r="G24" i="6" s="1"/>
  <c r="I17" i="6"/>
  <c r="G16" i="6" s="1"/>
  <c r="H27" i="6"/>
  <c r="F26" i="6" s="1"/>
  <c r="H19" i="6"/>
  <c r="F18" i="6" s="1"/>
  <c r="H32" i="6"/>
  <c r="F31" i="6" s="1"/>
  <c r="H29" i="6"/>
  <c r="F28" i="6" s="1"/>
  <c r="I32" i="6"/>
  <c r="G31" i="6" s="1"/>
  <c r="I24" i="6"/>
  <c r="G23" i="6" s="1"/>
  <c r="H34" i="6"/>
  <c r="F33" i="6" s="1"/>
  <c r="H26" i="6"/>
  <c r="F25" i="6" s="1"/>
  <c r="H18" i="6"/>
  <c r="F17" i="6" s="1"/>
  <c r="I22" i="6"/>
  <c r="G21" i="6" s="1"/>
  <c r="H21" i="6"/>
  <c r="F20" i="6" s="1"/>
  <c r="I31" i="6"/>
  <c r="G30" i="6" s="1"/>
  <c r="I23" i="6"/>
  <c r="G22" i="6" s="1"/>
  <c r="H33" i="6"/>
  <c r="F32" i="6" s="1"/>
  <c r="H25" i="6"/>
  <c r="F24" i="6" s="1"/>
  <c r="H17" i="6"/>
  <c r="F16" i="6" s="1"/>
  <c r="I30" i="6"/>
  <c r="G29" i="6" s="1"/>
  <c r="I29" i="6"/>
  <c r="G28" i="6" s="1"/>
  <c r="I21" i="6"/>
  <c r="G20" i="6" s="1"/>
  <c r="H31" i="6"/>
  <c r="F30" i="6" s="1"/>
  <c r="H23" i="6"/>
  <c r="F22" i="6" s="1"/>
  <c r="I28" i="6"/>
  <c r="G27" i="6" s="1"/>
  <c r="I20" i="6"/>
  <c r="G19" i="6" s="1"/>
  <c r="H30" i="6"/>
  <c r="F29" i="6" s="1"/>
  <c r="H22" i="6"/>
  <c r="F21" i="6" s="1"/>
  <c r="I27" i="6"/>
  <c r="G26" i="6" s="1"/>
  <c r="I19" i="6"/>
  <c r="G18" i="6" s="1"/>
  <c r="D15" i="5"/>
  <c r="G17" i="5"/>
  <c r="C15" i="5" s="1"/>
  <c r="C13" i="1"/>
  <c r="D13" i="1" s="1"/>
  <c r="G18" i="1" l="1"/>
  <c r="C16" i="1" s="1"/>
  <c r="H17" i="1"/>
  <c r="D15" i="1" s="1"/>
  <c r="H18" i="1"/>
  <c r="D16" i="1" s="1"/>
  <c r="G17" i="1"/>
  <c r="C15" i="1" s="1"/>
  <c r="G17" i="7"/>
  <c r="C15" i="7" s="1"/>
  <c r="H18" i="7"/>
  <c r="D16" i="7" s="1"/>
  <c r="G18" i="7"/>
  <c r="C16" i="7" s="1"/>
  <c r="H17" i="7"/>
  <c r="D15" i="7" s="1"/>
</calcChain>
</file>

<file path=xl/sharedStrings.xml><?xml version="1.0" encoding="utf-8"?>
<sst xmlns="http://schemas.openxmlformats.org/spreadsheetml/2006/main" count="505" uniqueCount="208">
  <si>
    <t>+</t>
  </si>
  <si>
    <t>580 - 1250</t>
  </si>
  <si>
    <t>960 - 2040</t>
  </si>
  <si>
    <t>1800 - 3500</t>
  </si>
  <si>
    <t>Х</t>
  </si>
  <si>
    <r>
      <t>ТOP STAY  (SQ00A</t>
    </r>
    <r>
      <rPr>
        <b/>
        <sz val="11"/>
        <color theme="2" tint="-0.749992370372631"/>
        <rFont val="Calibri"/>
        <family val="2"/>
        <charset val="204"/>
        <scheme val="minor"/>
      </rPr>
      <t>L</t>
    </r>
    <r>
      <rPr>
        <sz val="11"/>
        <color theme="2" tint="-0.749992370372631"/>
        <rFont val="Calibri"/>
        <family val="2"/>
        <charset val="204"/>
        <scheme val="minor"/>
      </rPr>
      <t>)    light</t>
    </r>
  </si>
  <si>
    <r>
      <t>ТOP STAY  (SQ00A</t>
    </r>
    <r>
      <rPr>
        <b/>
        <sz val="11"/>
        <color theme="2" tint="-0.749992370372631"/>
        <rFont val="Calibri"/>
        <family val="2"/>
        <charset val="204"/>
        <scheme val="minor"/>
      </rPr>
      <t>M</t>
    </r>
    <r>
      <rPr>
        <sz val="11"/>
        <color theme="2" tint="-0.749992370372631"/>
        <rFont val="Calibri"/>
        <family val="2"/>
        <charset val="204"/>
        <scheme val="minor"/>
      </rPr>
      <t>)  medium</t>
    </r>
  </si>
  <si>
    <r>
      <t>ТOP STAY  (SQ00A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</si>
  <si>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L</t>
    </r>
    <r>
      <rPr>
        <sz val="11"/>
        <color theme="2" tint="-0.749992370372631"/>
        <rFont val="Calibri"/>
        <family val="2"/>
        <charset val="204"/>
        <scheme val="minor"/>
      </rPr>
      <t>)    light</t>
    </r>
  </si>
  <si>
    <r>
      <t>ТOP STAY  (SF00A</t>
    </r>
    <r>
      <rPr>
        <b/>
        <sz val="11"/>
        <color theme="2" tint="-0.749992370372631"/>
        <rFont val="Calibri"/>
        <family val="2"/>
        <charset val="204"/>
        <scheme val="minor"/>
      </rPr>
      <t>M</t>
    </r>
    <r>
      <rPr>
        <sz val="11"/>
        <color theme="2" tint="-0.749992370372631"/>
        <rFont val="Calibri"/>
        <family val="2"/>
        <charset val="204"/>
        <scheme val="minor"/>
      </rPr>
      <t>)  medium</t>
    </r>
  </si>
  <si>
    <r>
      <t>ТOP STAY  (SF00A</t>
    </r>
    <r>
      <rPr>
        <b/>
        <sz val="11"/>
        <color theme="2" tint="-0.749992370372631"/>
        <rFont val="Calibri"/>
        <family val="2"/>
        <charset val="204"/>
        <scheme val="minor"/>
      </rPr>
      <t>H</t>
    </r>
    <r>
      <rPr>
        <sz val="11"/>
        <color theme="2" tint="-0.749992370372631"/>
        <rFont val="Calibri"/>
        <family val="2"/>
        <charset val="204"/>
        <scheme val="minor"/>
      </rPr>
      <t>)   strong</t>
    </r>
  </si>
  <si>
    <r>
      <t>ТOP STAY  (SF00A</t>
    </r>
    <r>
      <rPr>
        <b/>
        <sz val="11"/>
        <color theme="2" tint="-0.749992370372631"/>
        <rFont val="Calibri"/>
        <family val="2"/>
        <charset val="204"/>
        <scheme val="minor"/>
      </rPr>
      <t>D</t>
    </r>
    <r>
      <rPr>
        <sz val="11"/>
        <color theme="2" tint="-0.749992370372631"/>
        <rFont val="Calibri"/>
        <family val="2"/>
        <charset val="204"/>
        <scheme val="minor"/>
      </rPr>
      <t>)   extra light</t>
    </r>
  </si>
  <si>
    <t>480 - 1500</t>
  </si>
  <si>
    <t>750 - 2500</t>
  </si>
  <si>
    <t>1500 - 4900</t>
  </si>
  <si>
    <t>3200 - 9000</t>
  </si>
  <si>
    <r>
      <t>ТOP STAY  (SE00A</t>
    </r>
    <r>
      <rPr>
        <b/>
        <sz val="11"/>
        <color theme="2" tint="-0.749992370372631"/>
        <rFont val="Calibri"/>
        <family val="2"/>
        <charset val="204"/>
        <scheme val="minor"/>
      </rPr>
      <t>L</t>
    </r>
    <r>
      <rPr>
        <sz val="11"/>
        <color theme="2" tint="-0.749992370372631"/>
        <rFont val="Calibri"/>
        <family val="2"/>
        <charset val="204"/>
        <scheme val="minor"/>
      </rPr>
      <t>)    light</t>
    </r>
  </si>
  <si>
    <r>
      <t>ТOP STAY  (SE00A</t>
    </r>
    <r>
      <rPr>
        <b/>
        <sz val="11"/>
        <color theme="2" tint="-0.749992370372631"/>
        <rFont val="Calibri"/>
        <family val="2"/>
        <charset val="204"/>
        <scheme val="minor"/>
      </rPr>
      <t>M</t>
    </r>
    <r>
      <rPr>
        <sz val="11"/>
        <color theme="2" tint="-0.749992370372631"/>
        <rFont val="Calibri"/>
        <family val="2"/>
        <charset val="204"/>
        <scheme val="minor"/>
      </rPr>
      <t>)  medium</t>
    </r>
  </si>
  <si>
    <r>
      <t>ТOP STAY  (SE00A</t>
    </r>
    <r>
      <rPr>
        <b/>
        <sz val="11"/>
        <color theme="2" tint="-0.749992370372631"/>
        <rFont val="Calibri"/>
        <family val="2"/>
        <charset val="204"/>
        <scheme val="minor"/>
      </rPr>
      <t>H</t>
    </r>
    <r>
      <rPr>
        <sz val="11"/>
        <color theme="2" tint="-0.749992370372631"/>
        <rFont val="Calibri"/>
        <family val="2"/>
        <charset val="204"/>
        <scheme val="minor"/>
      </rPr>
      <t>)   strong</t>
    </r>
  </si>
  <si>
    <t>500 - 1500</t>
  </si>
  <si>
    <t>200 - 1000</t>
  </si>
  <si>
    <t>960 - 2350</t>
  </si>
  <si>
    <t>480 - 529</t>
  </si>
  <si>
    <t>4,5 - 8,9</t>
  </si>
  <si>
    <t>8,7 - 14,4</t>
  </si>
  <si>
    <t>530 - 589</t>
  </si>
  <si>
    <r>
      <t>ТOP STAY  (ST</t>
    </r>
    <r>
      <rPr>
        <b/>
        <sz val="11"/>
        <color theme="2" tint="-0.749992370372631"/>
        <rFont val="Calibri"/>
        <family val="2"/>
        <charset val="204"/>
        <scheme val="minor"/>
      </rPr>
      <t>01AL</t>
    </r>
    <r>
      <rPr>
        <sz val="11"/>
        <color theme="2" tint="-0.749992370372631"/>
        <rFont val="Calibri"/>
        <family val="2"/>
        <charset val="204"/>
        <scheme val="minor"/>
      </rPr>
      <t>)    light</t>
    </r>
  </si>
  <si>
    <r>
      <t>ТOP STAY  (ST</t>
    </r>
    <r>
      <rPr>
        <b/>
        <sz val="11"/>
        <color theme="2" tint="-0.749992370372631"/>
        <rFont val="Calibri"/>
        <family val="2"/>
        <charset val="204"/>
        <scheme val="minor"/>
      </rPr>
      <t>01AM</t>
    </r>
    <r>
      <rPr>
        <sz val="11"/>
        <color theme="2" tint="-0.749992370372631"/>
        <rFont val="Calibri"/>
        <family val="2"/>
        <charset val="204"/>
        <scheme val="minor"/>
      </rPr>
      <t>)  medium</t>
    </r>
  </si>
  <si>
    <r>
      <t>ТOP STAY  (ST</t>
    </r>
    <r>
      <rPr>
        <b/>
        <sz val="11"/>
        <color theme="2" tint="-0.749992370372631"/>
        <rFont val="Calibri"/>
        <family val="2"/>
        <charset val="204"/>
        <scheme val="minor"/>
      </rPr>
      <t>02AL</t>
    </r>
    <r>
      <rPr>
        <sz val="11"/>
        <color theme="2" tint="-0.749992370372631"/>
        <rFont val="Calibri"/>
        <family val="2"/>
        <charset val="204"/>
        <scheme val="minor"/>
      </rPr>
      <t>)    light</t>
    </r>
  </si>
  <si>
    <r>
      <t>ТOP STAY  (ST</t>
    </r>
    <r>
      <rPr>
        <b/>
        <sz val="11"/>
        <color theme="2" tint="-0.749992370372631"/>
        <rFont val="Calibri"/>
        <family val="2"/>
        <charset val="204"/>
        <scheme val="minor"/>
      </rPr>
      <t>02AM</t>
    </r>
    <r>
      <rPr>
        <sz val="11"/>
        <color theme="2" tint="-0.749992370372631"/>
        <rFont val="Calibri"/>
        <family val="2"/>
        <charset val="204"/>
        <scheme val="minor"/>
      </rPr>
      <t>)  medium</t>
    </r>
  </si>
  <si>
    <r>
      <t>ТOP STAY  (ST</t>
    </r>
    <r>
      <rPr>
        <b/>
        <sz val="11"/>
        <color theme="2" tint="-0.749992370372631"/>
        <rFont val="Calibri"/>
        <family val="2"/>
        <charset val="204"/>
        <scheme val="minor"/>
      </rPr>
      <t>03AL</t>
    </r>
    <r>
      <rPr>
        <sz val="11"/>
        <color theme="2" tint="-0.749992370372631"/>
        <rFont val="Calibri"/>
        <family val="2"/>
        <charset val="204"/>
        <scheme val="minor"/>
      </rPr>
      <t>)    light</t>
    </r>
  </si>
  <si>
    <r>
      <t>ТOP STAY  (ST</t>
    </r>
    <r>
      <rPr>
        <b/>
        <sz val="11"/>
        <color theme="2" tint="-0.749992370372631"/>
        <rFont val="Calibri"/>
        <family val="2"/>
        <charset val="204"/>
        <scheme val="minor"/>
      </rPr>
      <t>03AM</t>
    </r>
    <r>
      <rPr>
        <sz val="11"/>
        <color theme="2" tint="-0.749992370372631"/>
        <rFont val="Calibri"/>
        <family val="2"/>
        <charset val="204"/>
        <scheme val="minor"/>
      </rPr>
      <t>)  medium</t>
    </r>
  </si>
  <si>
    <t>590 - 649</t>
  </si>
  <si>
    <t>4,1 - 8,1</t>
  </si>
  <si>
    <t>9,6 - 16,0</t>
  </si>
  <si>
    <t>7,8 - 13,0</t>
  </si>
  <si>
    <r>
      <t>ТOP STAY  (ST</t>
    </r>
    <r>
      <rPr>
        <b/>
        <sz val="11"/>
        <color theme="2" tint="-0.749992370372631"/>
        <rFont val="Calibri"/>
        <family val="2"/>
        <charset val="204"/>
        <scheme val="minor"/>
      </rPr>
      <t>04AL</t>
    </r>
    <r>
      <rPr>
        <sz val="11"/>
        <color theme="2" tint="-0.749992370372631"/>
        <rFont val="Calibri"/>
        <family val="2"/>
        <charset val="204"/>
        <scheme val="minor"/>
      </rPr>
      <t>)    light</t>
    </r>
  </si>
  <si>
    <r>
      <t>ТOP STAY  (ST</t>
    </r>
    <r>
      <rPr>
        <b/>
        <sz val="11"/>
        <color theme="2" tint="-0.749992370372631"/>
        <rFont val="Calibri"/>
        <family val="2"/>
        <charset val="204"/>
        <scheme val="minor"/>
      </rPr>
      <t>04AM</t>
    </r>
    <r>
      <rPr>
        <sz val="11"/>
        <color theme="2" tint="-0.749992370372631"/>
        <rFont val="Calibri"/>
        <family val="2"/>
        <charset val="204"/>
        <scheme val="minor"/>
      </rPr>
      <t>)  medium</t>
    </r>
  </si>
  <si>
    <r>
      <t>ТOP STAY  (ST</t>
    </r>
    <r>
      <rPr>
        <b/>
        <sz val="11"/>
        <color theme="2" tint="-0.749992370372631"/>
        <rFont val="Calibri"/>
        <family val="2"/>
        <charset val="204"/>
        <scheme val="minor"/>
      </rPr>
      <t>04AH)</t>
    </r>
    <r>
      <rPr>
        <sz val="11"/>
        <color theme="2" tint="-0.749992370372631"/>
        <rFont val="Calibri"/>
        <family val="2"/>
        <charset val="204"/>
        <scheme val="minor"/>
      </rPr>
      <t xml:space="preserve">   strong</t>
    </r>
  </si>
  <si>
    <t>3,7 - 7,2</t>
  </si>
  <si>
    <t>7,0 - 11,6</t>
  </si>
  <si>
    <t>11,5 - 19,8</t>
  </si>
  <si>
    <r>
      <t>ТOP STAY  (ST</t>
    </r>
    <r>
      <rPr>
        <b/>
        <sz val="11"/>
        <color theme="2" tint="-0.749992370372631"/>
        <rFont val="Calibri"/>
        <family val="2"/>
        <charset val="204"/>
        <scheme val="minor"/>
      </rPr>
      <t>05AL</t>
    </r>
    <r>
      <rPr>
        <sz val="11"/>
        <color theme="2" tint="-0.749992370372631"/>
        <rFont val="Calibri"/>
        <family val="2"/>
        <charset val="204"/>
        <scheme val="minor"/>
      </rPr>
      <t>)    light</t>
    </r>
  </si>
  <si>
    <r>
      <t>ТOP STAY  (ST</t>
    </r>
    <r>
      <rPr>
        <b/>
        <sz val="11"/>
        <color theme="2" tint="-0.749992370372631"/>
        <rFont val="Calibri"/>
        <family val="2"/>
        <charset val="204"/>
        <scheme val="minor"/>
      </rPr>
      <t>05AM</t>
    </r>
    <r>
      <rPr>
        <sz val="11"/>
        <color theme="2" tint="-0.749992370372631"/>
        <rFont val="Calibri"/>
        <family val="2"/>
        <charset val="204"/>
        <scheme val="minor"/>
      </rPr>
      <t>)  medium</t>
    </r>
  </si>
  <si>
    <r>
      <t>ТOP STAY  (ST</t>
    </r>
    <r>
      <rPr>
        <b/>
        <sz val="11"/>
        <color theme="2" tint="-0.749992370372631"/>
        <rFont val="Calibri"/>
        <family val="2"/>
        <charset val="204"/>
        <scheme val="minor"/>
      </rPr>
      <t>05AH)</t>
    </r>
    <r>
      <rPr>
        <sz val="11"/>
        <color theme="2" tint="-0.749992370372631"/>
        <rFont val="Calibri"/>
        <family val="2"/>
        <charset val="204"/>
        <scheme val="minor"/>
      </rPr>
      <t xml:space="preserve">   strong</t>
    </r>
  </si>
  <si>
    <t>3,2 - 6,5</t>
  </si>
  <si>
    <t>6,3 - 10,6</t>
  </si>
  <si>
    <t>10,5 - 18,1</t>
  </si>
  <si>
    <r>
      <t>ТOP STAY  (ST</t>
    </r>
    <r>
      <rPr>
        <b/>
        <sz val="11"/>
        <color theme="2" tint="-0.749992370372631"/>
        <rFont val="Calibri"/>
        <family val="2"/>
        <charset val="204"/>
        <scheme val="minor"/>
      </rPr>
      <t>06AM</t>
    </r>
    <r>
      <rPr>
        <sz val="11"/>
        <color theme="2" tint="-0.749992370372631"/>
        <rFont val="Calibri"/>
        <family val="2"/>
        <charset val="204"/>
        <scheme val="minor"/>
      </rPr>
      <t>)  medium</t>
    </r>
  </si>
  <si>
    <r>
      <t>ТOP STAY  (ST</t>
    </r>
    <r>
      <rPr>
        <b/>
        <sz val="11"/>
        <color theme="2" tint="-0.749992370372631"/>
        <rFont val="Calibri"/>
        <family val="2"/>
        <charset val="204"/>
        <scheme val="minor"/>
      </rPr>
      <t>06AH)</t>
    </r>
    <r>
      <rPr>
        <sz val="11"/>
        <color theme="2" tint="-0.749992370372631"/>
        <rFont val="Calibri"/>
        <family val="2"/>
        <charset val="204"/>
        <scheme val="minor"/>
      </rPr>
      <t xml:space="preserve">   strong</t>
    </r>
  </si>
  <si>
    <t>9,5 - 16,5</t>
  </si>
  <si>
    <t>650 - 729</t>
  </si>
  <si>
    <t>730 - 799</t>
  </si>
  <si>
    <t>800 - 879</t>
  </si>
  <si>
    <r>
      <t>ТOP STAY  (ST</t>
    </r>
    <r>
      <rPr>
        <b/>
        <sz val="11"/>
        <color theme="2" tint="-0.749992370372631"/>
        <rFont val="Calibri"/>
        <family val="2"/>
        <charset val="204"/>
        <scheme val="minor"/>
      </rPr>
      <t>07AM</t>
    </r>
    <r>
      <rPr>
        <sz val="11"/>
        <color theme="2" tint="-0.749992370372631"/>
        <rFont val="Calibri"/>
        <family val="2"/>
        <charset val="204"/>
        <scheme val="minor"/>
      </rPr>
      <t>)  medium</t>
    </r>
  </si>
  <si>
    <r>
      <t>ТOP STAY  (ST</t>
    </r>
    <r>
      <rPr>
        <b/>
        <sz val="11"/>
        <color theme="2" tint="-0.749992370372631"/>
        <rFont val="Calibri"/>
        <family val="2"/>
        <charset val="204"/>
        <scheme val="minor"/>
      </rPr>
      <t>07AH)</t>
    </r>
    <r>
      <rPr>
        <sz val="11"/>
        <color theme="2" tint="-0.749992370372631"/>
        <rFont val="Calibri"/>
        <family val="2"/>
        <charset val="204"/>
        <scheme val="minor"/>
      </rPr>
      <t xml:space="preserve">   strong</t>
    </r>
  </si>
  <si>
    <t>5,2 - 8,8</t>
  </si>
  <si>
    <t>8,7 - 15,1</t>
  </si>
  <si>
    <t>880 - 959</t>
  </si>
  <si>
    <r>
      <t>ТOP STAY  (ST</t>
    </r>
    <r>
      <rPr>
        <b/>
        <sz val="11"/>
        <color theme="2" tint="-0.749992370372631"/>
        <rFont val="Calibri"/>
        <family val="2"/>
        <charset val="204"/>
        <scheme val="minor"/>
      </rPr>
      <t>08AH)</t>
    </r>
    <r>
      <rPr>
        <sz val="11"/>
        <color theme="2" tint="-0.749992370372631"/>
        <rFont val="Calibri"/>
        <family val="2"/>
        <charset val="204"/>
        <scheme val="minor"/>
      </rPr>
      <t xml:space="preserve">   strong</t>
    </r>
  </si>
  <si>
    <t>8,0 - 13,9</t>
  </si>
  <si>
    <t>960 - 1040</t>
  </si>
  <si>
    <t>5,0 - 10,0</t>
  </si>
  <si>
    <t>5,8 - 9,6</t>
  </si>
  <si>
    <r>
      <t>ТOP STAY  (ST</t>
    </r>
    <r>
      <rPr>
        <b/>
        <sz val="11"/>
        <color theme="2" tint="-0.749992370372631"/>
        <rFont val="Calibri"/>
        <family val="2"/>
        <charset val="204"/>
        <scheme val="minor"/>
      </rPr>
      <t>08AM)</t>
    </r>
    <r>
      <rPr>
        <sz val="11"/>
        <color theme="2" tint="-0.749992370372631"/>
        <rFont val="Calibri"/>
        <family val="2"/>
        <charset val="204"/>
        <scheme val="minor"/>
      </rPr>
      <t xml:space="preserve">   strong</t>
    </r>
  </si>
  <si>
    <t>4,8 - 8,1</t>
  </si>
  <si>
    <t>500 - 1400</t>
  </si>
  <si>
    <t>960 - 2050</t>
  </si>
  <si>
    <r>
      <t>ТOP STAY  (SE2FA</t>
    </r>
    <r>
      <rPr>
        <b/>
        <sz val="11"/>
        <color theme="2" tint="-0.749992370372631"/>
        <rFont val="Calibri"/>
        <family val="2"/>
        <charset val="204"/>
        <scheme val="minor"/>
      </rPr>
      <t>L</t>
    </r>
    <r>
      <rPr>
        <sz val="11"/>
        <color theme="2" tint="-0.749992370372631"/>
        <rFont val="Calibri"/>
        <family val="2"/>
        <charset val="204"/>
        <scheme val="minor"/>
      </rPr>
      <t>)    light</t>
    </r>
  </si>
  <si>
    <r>
      <t>ТOP STAY  (SE2FA</t>
    </r>
    <r>
      <rPr>
        <b/>
        <sz val="11"/>
        <color theme="2" tint="-0.749992370372631"/>
        <rFont val="Calibri"/>
        <family val="2"/>
        <charset val="204"/>
        <scheme val="minor"/>
      </rPr>
      <t>M</t>
    </r>
    <r>
      <rPr>
        <sz val="11"/>
        <color theme="2" tint="-0.749992370372631"/>
        <rFont val="Calibri"/>
        <family val="2"/>
        <charset val="204"/>
        <scheme val="minor"/>
      </rPr>
      <t>)  medium</t>
    </r>
  </si>
  <si>
    <r>
      <t>ТOP STAY  (SE2FA</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</si>
  <si>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L</t>
    </r>
    <r>
      <rPr>
        <sz val="11"/>
        <color theme="2" tint="-0.749992370372631"/>
        <rFont val="Calibri"/>
        <family val="2"/>
        <charset val="204"/>
        <scheme val="minor"/>
      </rPr>
      <t>)    light</t>
    </r>
  </si>
  <si>
    <r>
      <t>ТOP STAY  (SQ02B</t>
    </r>
    <r>
      <rPr>
        <b/>
        <sz val="11"/>
        <color theme="2" tint="-0.749992370372631"/>
        <rFont val="Calibri"/>
        <family val="2"/>
        <charset val="204"/>
        <scheme val="minor"/>
      </rPr>
      <t>M</t>
    </r>
    <r>
      <rPr>
        <sz val="11"/>
        <color theme="2" tint="-0.749992370372631"/>
        <rFont val="Calibri"/>
        <family val="2"/>
        <charset val="204"/>
        <scheme val="minor"/>
      </rPr>
      <t>)  medium</t>
    </r>
  </si>
  <si>
    <r>
      <t>ТOP STAY  (SQ02B</t>
    </r>
    <r>
      <rPr>
        <b/>
        <sz val="11"/>
        <color theme="2" tint="-0.749992370372631"/>
        <rFont val="Calibri"/>
        <family val="2"/>
        <charset val="204"/>
        <scheme val="minor"/>
      </rPr>
      <t>H</t>
    </r>
    <r>
      <rPr>
        <sz val="11"/>
        <color theme="2" tint="-0.749992370372631"/>
        <rFont val="Calibri"/>
        <family val="2"/>
        <charset val="204"/>
        <scheme val="minor"/>
      </rPr>
      <t>)   strong</t>
    </r>
  </si>
  <si>
    <r>
      <t>ТOP STAY  (SQ02B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</si>
  <si>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480 - 1250</t>
    </r>
    <r>
      <rPr>
        <sz val="11"/>
        <color theme="2" tint="-0.749992370372631"/>
        <rFont val="Calibri"/>
        <family val="2"/>
        <charset val="204"/>
        <scheme val="minor"/>
      </rPr>
      <t>, h=250-</t>
    </r>
    <r>
      <rPr>
        <sz val="11"/>
        <color theme="2" tint="-0.749992370372631"/>
        <rFont val="Calibri"/>
        <family val="2"/>
        <charset val="204"/>
      </rPr>
      <t>400 мм</t>
    </r>
  </si>
  <si>
    <r>
      <rPr>
        <b/>
        <sz val="11"/>
        <color theme="2" tint="-0.749992370372631"/>
        <rFont val="Calibri"/>
        <family val="2"/>
        <charset val="204"/>
        <scheme val="minor"/>
      </rPr>
      <t>960 - 2350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</si>
  <si>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1600 - 3600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</si>
  <si>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2500 - 4500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</si>
  <si>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</si>
  <si>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SF</t>
    </r>
    <r>
      <rPr>
        <b/>
        <sz val="36"/>
        <color theme="2" tint="-0.749992370372631"/>
        <rFont val="Segoe UI"/>
        <family val="2"/>
        <charset val="204"/>
      </rPr>
      <t xml:space="preserve"> </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</si>
  <si>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t>
    </r>
    <r>
      <rPr>
        <b/>
        <sz val="36"/>
        <color theme="2" tint="-0.749992370372631"/>
        <rFont val="Segoe UI"/>
        <family val="2"/>
        <charset val="204"/>
      </rPr>
      <t xml:space="preserve"> </t>
    </r>
  </si>
  <si>
    <r>
      <t>ТOP STAY  (SQ2FB</t>
    </r>
    <r>
      <rPr>
        <b/>
        <sz val="11"/>
        <color theme="2" tint="-0.749992370372631"/>
        <rFont val="Calibri"/>
        <family val="2"/>
        <charset val="204"/>
        <scheme val="minor"/>
      </rPr>
      <t>L</t>
    </r>
    <r>
      <rPr>
        <sz val="11"/>
        <color theme="2" tint="-0.749992370372631"/>
        <rFont val="Calibri"/>
        <family val="2"/>
        <charset val="204"/>
        <scheme val="minor"/>
      </rPr>
      <t>)    light</t>
    </r>
  </si>
  <si>
    <r>
      <t>ТOP STAY  (SQ2FB</t>
    </r>
    <r>
      <rPr>
        <b/>
        <sz val="11"/>
        <color theme="2" tint="-0.749992370372631"/>
        <rFont val="Calibri"/>
        <family val="2"/>
        <charset val="204"/>
        <scheme val="minor"/>
      </rPr>
      <t>M</t>
    </r>
    <r>
      <rPr>
        <sz val="11"/>
        <color theme="2" tint="-0.749992370372631"/>
        <rFont val="Calibri"/>
        <family val="2"/>
        <charset val="204"/>
        <scheme val="minor"/>
      </rPr>
      <t>)  medium</t>
    </r>
  </si>
  <si>
    <r>
      <t>ТOP STAY  (SQ2FB</t>
    </r>
    <r>
      <rPr>
        <b/>
        <sz val="11"/>
        <color theme="2" tint="-0.749992370372631"/>
        <rFont val="Calibri"/>
        <family val="2"/>
        <charset val="204"/>
        <scheme val="minor"/>
      </rPr>
      <t>H</t>
    </r>
    <r>
      <rPr>
        <sz val="11"/>
        <color theme="2" tint="-0.749992370372631"/>
        <rFont val="Calibri"/>
        <family val="2"/>
        <charset val="204"/>
        <scheme val="minor"/>
      </rPr>
      <t>)   strong</t>
    </r>
  </si>
  <si>
    <r>
      <t>ТOP STAY  (SQ2FB</t>
    </r>
    <r>
      <rPr>
        <b/>
        <sz val="11"/>
        <color theme="2" tint="-0.749992370372631"/>
        <rFont val="Calibri"/>
        <family val="2"/>
        <charset val="204"/>
        <scheme val="minor"/>
      </rPr>
      <t>C</t>
    </r>
    <r>
      <rPr>
        <sz val="11"/>
        <color theme="2" tint="-0.749992370372631"/>
        <rFont val="Calibri"/>
        <family val="2"/>
        <charset val="204"/>
        <scheme val="minor"/>
      </rPr>
      <t>)   extra strong</t>
    </r>
  </si>
  <si>
    <r>
      <rPr>
        <b/>
        <sz val="11"/>
        <color theme="2" tint="-0.749992370372631"/>
        <rFont val="Calibri"/>
        <family val="2"/>
        <charset val="204"/>
        <scheme val="minor"/>
      </rPr>
      <t>1060 - 2450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</si>
  <si>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1800 - 4000</t>
    </r>
    <r>
      <rPr>
        <sz val="11"/>
        <color theme="2" tint="-0.749992370372631"/>
        <rFont val="Calibri"/>
        <family val="2"/>
        <charset val="204"/>
        <scheme val="minor"/>
      </rPr>
      <t>, h=250-</t>
    </r>
    <r>
      <rPr>
        <sz val="11"/>
        <color theme="2" tint="-0.749992370372631"/>
        <rFont val="Calibri"/>
        <family val="2"/>
        <charset val="204"/>
      </rPr>
      <t>500 мм</t>
    </r>
  </si>
  <si>
    <r>
      <rPr>
        <b/>
        <sz val="11"/>
        <color theme="2" tint="-0.749992370372631"/>
        <rFont val="Calibri"/>
        <family val="2"/>
        <charset val="204"/>
        <scheme val="minor"/>
      </rPr>
      <t>2600 - 5000</t>
    </r>
    <r>
      <rPr>
        <sz val="11"/>
        <color theme="2" tint="-0.749992370372631"/>
        <rFont val="Calibri"/>
        <family val="2"/>
        <charset val="204"/>
        <scheme val="minor"/>
      </rPr>
      <t>, h=250-6</t>
    </r>
    <r>
      <rPr>
        <sz val="11"/>
        <color theme="2" tint="-0.749992370372631"/>
        <rFont val="Calibri"/>
        <family val="2"/>
        <charset val="204"/>
      </rPr>
      <t>00 мм</t>
    </r>
  </si>
  <si>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t>
    </r>
    <r>
      <rPr>
        <b/>
        <sz val="26"/>
        <color theme="2" tint="-0.749992370372631"/>
        <rFont val="Segoe UI"/>
        <family val="2"/>
        <charset val="204"/>
      </rPr>
      <t xml:space="preserve"> </t>
    </r>
    <phoneticPr fontId="14" type="noConversion"/>
  </si>
  <si>
    <t>weight of handle, in gram</t>
    <phoneticPr fontId="14" type="noConversion"/>
  </si>
  <si>
    <t>calculator list SQ:</t>
    <phoneticPr fontId="14" type="noConversion"/>
  </si>
  <si>
    <t>density 1м2</t>
    <phoneticPr fontId="14" type="noConversion"/>
  </si>
  <si>
    <t>calculation</t>
    <phoneticPr fontId="14" type="noConversion"/>
  </si>
  <si>
    <t>formula</t>
    <phoneticPr fontId="14" type="noConversion"/>
  </si>
  <si>
    <t>Material</t>
    <phoneticPr fontId="14" type="noConversion"/>
  </si>
  <si>
    <t>chipboard 16 мм</t>
    <phoneticPr fontId="14" type="noConversion"/>
  </si>
  <si>
    <t>chipboard 18 мм</t>
    <phoneticPr fontId="14" type="noConversion"/>
  </si>
  <si>
    <t>МDF 16 мм</t>
    <phoneticPr fontId="14" type="noConversion"/>
  </si>
  <si>
    <t>МDF 18/19 мм</t>
    <phoneticPr fontId="14" type="noConversion"/>
  </si>
  <si>
    <t>solid wood 16 мм</t>
    <phoneticPr fontId="14" type="noConversion"/>
  </si>
  <si>
    <t>solid wood 18 мм</t>
    <phoneticPr fontId="14" type="noConversion"/>
  </si>
  <si>
    <t>Aluminium Frame</t>
    <phoneticPr fontId="14" type="noConversion"/>
  </si>
  <si>
    <t>door weight, in kg</t>
    <phoneticPr fontId="14" type="noConversion"/>
  </si>
  <si>
    <t>power factor (LF)</t>
    <phoneticPr fontId="14" type="noConversion"/>
  </si>
  <si>
    <t>Mechanism Reference</t>
    <phoneticPr fontId="14" type="noConversion"/>
  </si>
  <si>
    <t>www.dtcdtc.com</t>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</si>
  <si>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in mm</t>
    </r>
    <phoneticPr fontId="14" type="noConversion"/>
  </si>
  <si>
    <t>calculator list SF:</t>
    <phoneticPr fontId="14" type="noConversion"/>
  </si>
  <si>
    <t>calculator list SE:</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</si>
  <si>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SE push</t>
    </r>
    <r>
      <rPr>
        <b/>
        <sz val="36"/>
        <color theme="2" tint="-0.749992370372631"/>
        <rFont val="Segoe UI"/>
        <family val="2"/>
        <charset val="204"/>
      </rPr>
      <t xml:space="preserve"> </t>
    </r>
    <phoneticPr fontId="14" type="noConversion"/>
  </si>
  <si>
    <t>calculator list ST:</t>
    <phoneticPr fontId="14" type="noConversion"/>
  </si>
  <si>
    <t>door height, in mm</t>
    <phoneticPr fontId="14" type="noConversion"/>
  </si>
  <si>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phoneticPr fontId="14" type="noConversion"/>
  </si>
  <si>
    <t>1. Size of the door and weight of handle</t>
    <phoneticPr fontId="14" type="noConversion"/>
  </si>
  <si>
    <t>Height, in mm (max. 600мм)</t>
    <phoneticPr fontId="14" type="noConversion"/>
  </si>
  <si>
    <t>Width, in mm</t>
    <phoneticPr fontId="14" type="noConversion"/>
  </si>
  <si>
    <t>Weight of handle, in g</t>
    <phoneticPr fontId="14" type="noConversion"/>
  </si>
  <si>
    <t>2. Select the door material from the drop-down list and get the door weight and required power factor</t>
    <phoneticPr fontId="14" type="noConversion"/>
  </si>
  <si>
    <t>LF range and door height range</t>
    <phoneticPr fontId="14" type="noConversion"/>
  </si>
  <si>
    <r>
      <rPr>
        <b/>
        <sz val="11"/>
        <color theme="2" tint="-0.749992370372631"/>
        <rFont val="Calibri"/>
        <family val="2"/>
        <charset val="204"/>
        <scheme val="minor"/>
      </rPr>
      <t>580 - 1350</t>
    </r>
    <r>
      <rPr>
        <sz val="11"/>
        <color theme="2" tint="-0.749992370372631"/>
        <rFont val="Calibri"/>
        <family val="2"/>
        <charset val="204"/>
        <scheme val="minor"/>
      </rPr>
      <t>, h=250-</t>
    </r>
    <r>
      <rPr>
        <sz val="11"/>
        <color theme="2" tint="-0.749992370372631"/>
        <rFont val="Calibri"/>
        <family val="2"/>
        <charset val="204"/>
      </rPr>
      <t xml:space="preserve">400 </t>
    </r>
    <r>
      <rPr>
        <sz val="11"/>
        <color theme="2" tint="-0.749992370372631"/>
        <rFont val="等线"/>
        <family val="2"/>
        <charset val="134"/>
      </rPr>
      <t>мм</t>
    </r>
    <phoneticPr fontId="14" type="noConversion"/>
  </si>
  <si>
    <t>Average of LF</t>
    <phoneticPr fontId="14" type="noConversion"/>
  </si>
  <si>
    <t>Height, in mm (max. 500мм)</t>
    <phoneticPr fontId="14" type="noConversion"/>
  </si>
  <si>
    <t>LF range</t>
    <phoneticPr fontId="14" type="noConversion"/>
  </si>
  <si>
    <t>Height, in mm (max. 700мм)</t>
    <phoneticPr fontId="14" type="noConversion"/>
  </si>
  <si>
    <t>Height,  in mm (max. 600мм)</t>
    <phoneticPr fontId="14" type="noConversion"/>
  </si>
  <si>
    <t>МDF 22 мм</t>
    <phoneticPr fontId="14" type="noConversion"/>
  </si>
  <si>
    <t>solid wood 22 мм</t>
    <phoneticPr fontId="14" type="noConversion"/>
  </si>
  <si>
    <t>Счетчик списка SQ:</t>
  </si>
  <si>
    <t>Dark Grey cover cap</t>
    <phoneticPr fontId="14" type="noConversion"/>
  </si>
  <si>
    <t xml:space="preserve">Suggested Model </t>
    <phoneticPr fontId="14" type="noConversion"/>
  </si>
  <si>
    <t>with White Cover Cap</t>
    <phoneticPr fontId="14" type="noConversion"/>
  </si>
  <si>
    <t>with Dark Grey Cover Cap</t>
    <phoneticPr fontId="14" type="noConversion"/>
  </si>
  <si>
    <t>Regular Usage (one set)</t>
    <phoneticPr fontId="14" type="noConversion"/>
  </si>
  <si>
    <t>when the door is too big, use a 3rd mechanism, suggested model</t>
    <phoneticPr fontId="14" type="noConversion"/>
  </si>
  <si>
    <t>one set</t>
    <phoneticPr fontId="14" type="noConversion"/>
  </si>
  <si>
    <t>two sets</t>
    <phoneticPr fontId="14" type="noConversion"/>
  </si>
  <si>
    <t>4. 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</si>
  <si>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Select the Top Stays SE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</si>
  <si>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Select the door material from the drop-down list and get the door weight and required power factor</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</si>
  <si>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phoneticPr fontId="14" type="noConversion"/>
  </si>
  <si>
    <t>White 
cover cap</t>
    <phoneticPr fontId="14" type="noConversion"/>
  </si>
  <si>
    <t>Select the Top Stays SF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</si>
  <si>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t>Size of the door and weight of handle</t>
    <phoneticPr fontId="14" type="noConversion"/>
  </si>
  <si>
    <t>Select the Top Stays SQ lifting mechanism model corresponding to the above door weight and power factor. The index value should be within the limits of the values for the individual mechanism. The closer the LF to the average, the easier it will be to adjust the mechanism.  If the value is in the boundary of the range, choose a stronger model.</t>
    <phoneticPr fontId="14" type="noConversion"/>
  </si>
  <si>
    <r>
      <t xml:space="preserve">Select the Top Stays </t>
    </r>
    <r>
      <rPr>
        <b/>
        <sz val="11"/>
        <color theme="0" tint="-4.9989318521683403E-2"/>
        <rFont val="Calibri"/>
        <family val="3"/>
        <charset val="134"/>
        <scheme val="minor"/>
      </rPr>
      <t>new SQ</t>
    </r>
    <r>
      <rPr>
        <sz val="11"/>
        <color theme="0" tint="-4.9989318521683403E-2"/>
        <rFont val="Calibri"/>
        <family val="2"/>
        <charset val="204"/>
        <scheme val="minor"/>
      </rPr>
      <t xml:space="preserve"> lifting mechanism model corresponding to the above door weight and power factor. The index value should be within the limits of the values for the individual mechanism. The closer the index to the average, the easier it will be to adjust the mechanism.  If the value is in the boundary of the range, choose a stronger model.</t>
    </r>
    <phoneticPr fontId="14" type="noConversion"/>
  </si>
  <si>
    <t>Suggested Model</t>
    <phoneticPr fontId="14" type="noConversion"/>
  </si>
  <si>
    <t>size of the door and weight of handle</t>
    <phoneticPr fontId="14" type="noConversion"/>
  </si>
  <si>
    <t>Select the door material from the drop-down list and get the door weight</t>
    <phoneticPr fontId="14" type="noConversion"/>
  </si>
  <si>
    <t xml:space="preserve">Select the Top Stay ST mechanism corresponding to the above door weight and height. The door weight and height shall be within the limit of the individual article of the mechanism. The closer your values are to the average weight and height, the easier it will be to adjust the mechanism. If the weight is close to the boundary of the range, choose a model that is designed for more weight. </t>
    <phoneticPr fontId="14" type="noConversion"/>
  </si>
  <si>
    <t>Х</t>
    <phoneticPr fontId="14" type="noConversion"/>
  </si>
  <si>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SQ NEW push</t>
    </r>
    <r>
      <rPr>
        <b/>
        <sz val="26"/>
        <color theme="2" tint="-0.749992370372631"/>
        <rFont val="Segoe UI"/>
        <family val="2"/>
        <charset val="204"/>
      </rPr>
      <t xml:space="preserve"> </t>
    </r>
    <phoneticPr fontId="14" type="noConversion"/>
  </si>
  <si>
    <r>
      <rPr>
        <b/>
        <sz val="26"/>
        <color theme="2" tint="-0.499984740745262"/>
        <rFont val="Segoe UI"/>
        <family val="2"/>
        <charset val="204"/>
      </rPr>
      <t xml:space="preserve">   TOP STAY</t>
    </r>
    <r>
      <rPr>
        <b/>
        <sz val="26"/>
        <color theme="2" tint="-0.749992370372631"/>
        <rFont val="Segoe UI"/>
        <family val="2"/>
        <charset val="204"/>
      </rPr>
      <t xml:space="preserve"> </t>
    </r>
    <r>
      <rPr>
        <b/>
        <sz val="26"/>
        <color rgb="FFC00000"/>
        <rFont val="Segoe UI"/>
        <family val="2"/>
        <charset val="204"/>
      </rPr>
      <t>SK</t>
    </r>
    <r>
      <rPr>
        <b/>
        <sz val="36"/>
        <color theme="2" tint="-0.749992370372631"/>
        <rFont val="Segoe UI"/>
        <family val="2"/>
        <charset val="204"/>
      </rPr>
      <t xml:space="preserve"> </t>
    </r>
  </si>
  <si>
    <t>1,3 - 4,2</t>
  </si>
  <si>
    <t>300 - 349</t>
  </si>
  <si>
    <t>1,5 - 2,5</t>
  </si>
  <si>
    <t>350 - 399</t>
  </si>
  <si>
    <t>3,5 - 7,2</t>
  </si>
  <si>
    <t xml:space="preserve">2,5 - 5,0 </t>
  </si>
  <si>
    <t>2,0 - 3,5</t>
  </si>
  <si>
    <t>400 - 550</t>
  </si>
  <si>
    <t>6,5 - 12,0</t>
  </si>
  <si>
    <t>4,5 - 9,0</t>
  </si>
  <si>
    <t>2,8 - 6,5</t>
  </si>
  <si>
    <t>2,0 - 5,2</t>
  </si>
  <si>
    <t>450 - 580</t>
  </si>
  <si>
    <t>11,0 - 20,0</t>
  </si>
  <si>
    <t xml:space="preserve">8,0 - 14,5 </t>
  </si>
  <si>
    <t>5,8 - 11,5</t>
  </si>
  <si>
    <t>4,2 - 9,2</t>
  </si>
  <si>
    <t>13,5 - 20,0</t>
  </si>
  <si>
    <t xml:space="preserve">10,5 -20,0 </t>
  </si>
  <si>
    <t>8,3 - 16,5</t>
  </si>
  <si>
    <r>
      <rPr>
        <b/>
        <sz val="11"/>
        <color theme="2" tint="-0.749992370372631"/>
        <rFont val="Calibri"/>
        <family val="2"/>
        <charset val="204"/>
        <scheme val="minor"/>
      </rPr>
      <t>Height</t>
    </r>
    <r>
      <rPr>
        <sz val="11"/>
        <color theme="2" tint="-0.749992370372631"/>
        <rFont val="Calibri"/>
        <family val="2"/>
        <charset val="204"/>
        <scheme val="minor"/>
      </rPr>
      <t xml:space="preserve">, мм (max. 580) </t>
    </r>
    <phoneticPr fontId="14" type="noConversion"/>
  </si>
  <si>
    <r>
      <rPr>
        <b/>
        <sz val="11"/>
        <color theme="2" tint="-0.749992370372631"/>
        <rFont val="Calibri"/>
        <family val="2"/>
        <charset val="204"/>
        <scheme val="minor"/>
      </rPr>
      <t>Width</t>
    </r>
    <r>
      <rPr>
        <sz val="11"/>
        <color theme="2" tint="-0.749992370372631"/>
        <rFont val="Calibri"/>
        <family val="2"/>
        <charset val="204"/>
        <scheme val="minor"/>
      </rPr>
      <t>, мм</t>
    </r>
    <phoneticPr fontId="14" type="noConversion"/>
  </si>
  <si>
    <t>weight of handle, in g</t>
    <phoneticPr fontId="14" type="noConversion"/>
  </si>
  <si>
    <t xml:space="preserve">Enter the dimensions of the front and the weight of the handle:                 </t>
    <phoneticPr fontId="14" type="noConversion"/>
  </si>
  <si>
    <t xml:space="preserve">Select the door material from the drop-down list and get the door weight    </t>
    <phoneticPr fontId="14" type="noConversion"/>
  </si>
  <si>
    <t>Suggested Model in White</t>
    <phoneticPr fontId="14" type="noConversion"/>
  </si>
  <si>
    <t>Suggested model in Dark Grey</t>
    <phoneticPr fontId="14" type="noConversion"/>
  </si>
  <si>
    <t>calculator list SK:</t>
    <phoneticPr fontId="14" type="noConversion"/>
  </si>
  <si>
    <t>lever arms</t>
    <phoneticPr fontId="14" type="noConversion"/>
  </si>
  <si>
    <t>lever arm set ТOP STAY SK 300-349</t>
    <phoneticPr fontId="14" type="noConversion"/>
  </si>
  <si>
    <t>lever arm set ТOP STAY SK 350-399</t>
  </si>
  <si>
    <t>lever arm set ТOP STAY SK 400-550</t>
  </si>
  <si>
    <t>lever arm set ТOP STAY SK 450-580</t>
  </si>
  <si>
    <t>Suggested lever arm set model</t>
    <phoneticPr fontId="14" type="noConversion"/>
  </si>
  <si>
    <t>ТOP STAY SK (D) super light</t>
  </si>
  <si>
    <t>ТOP STAY SK (L) light</t>
  </si>
  <si>
    <t>ТOP STAY SK (M) medium</t>
  </si>
  <si>
    <t>ТOP STAY SK (H) strong</t>
  </si>
  <si>
    <t>ТOP STAY SK (С) super strong</t>
  </si>
  <si>
    <r>
      <t xml:space="preserve">Select the lever arm of SK corresponding to the door height, and add them to the order. For better performance, </t>
    </r>
    <r>
      <rPr>
        <b/>
        <sz val="11"/>
        <color theme="0" tint="-4.9989318521683403E-2"/>
        <rFont val="Calibri"/>
        <family val="3"/>
        <charset val="134"/>
        <scheme val="minor"/>
      </rPr>
      <t>select a shorter arm in duplicate value  area.</t>
    </r>
    <phoneticPr fontId="14" type="noConversion"/>
  </si>
  <si>
    <r>
      <t xml:space="preserve">Select the Top Stay SK mechanism corresponding to the above door weight and height. The door weight and height shall be within the limit of the individual article of the mechanism. The closer your values are to the average weight and height, the easier it will be to adjust the mechanism. For better performance, </t>
    </r>
    <r>
      <rPr>
        <b/>
        <sz val="11"/>
        <color theme="0" tint="-4.9989318521683403E-2"/>
        <rFont val="Calibri"/>
        <family val="3"/>
        <charset val="134"/>
        <scheme val="minor"/>
      </rPr>
      <t>select a lighter model in duplicate value  area.</t>
    </r>
    <phoneticPr fontId="14" type="noConversion"/>
  </si>
  <si>
    <t>ATTENTION: Dimension data must be entered only in the white cells.
If you enter data in a grey cell, the spreadsheet will not function properly and will produce incorrect results.
The calculation can only be performed when the file is opened on a computer (it does not work on mobile phones or tablets).</t>
  </si>
  <si>
    <r>
      <rPr>
        <sz val="10"/>
        <color theme="1"/>
        <rFont val="Calibri"/>
        <family val="2"/>
        <charset val="161"/>
        <scheme val="minor"/>
      </rPr>
      <t>ΠΡΟΣΟΧΗ: Στοιχεία διαστάσεων θα πρέπει να περνάτε μόνο στα λευκά κελιά.  Αν γράψετε σε γκρι κελί δεν θα λειτουργήσει το υπολογιστικό φύλλο και θα σας βγάλει λανθασμένα αποτελέσματα.Ο υπολογισμός μπορεί να γίνει μόνο αν ανοίξετε το αρχείο σε υπολογιστή (δεν δουλεύει σε κινητά ή τάμπλετ).</t>
    </r>
    <r>
      <rPr>
        <sz val="8"/>
        <color theme="1"/>
        <rFont val="Calibri"/>
        <family val="2"/>
        <charset val="161"/>
        <scheme val="minor"/>
      </rPr>
      <t xml:space="preserve">	</t>
    </r>
  </si>
  <si>
    <t>Σκούρο γκρι καπάκι</t>
  </si>
  <si>
    <t>Λευκό καπάκι</t>
  </si>
  <si>
    <t>ύψος πόρτας, σε mm</t>
  </si>
  <si>
    <t>βάρος πόρτας, σε kg</t>
  </si>
  <si>
    <t>Μηχανισμοί</t>
  </si>
  <si>
    <t>Προτεινόμενο μοντέλο</t>
  </si>
  <si>
    <t>4.Επιλέξτε το κατάλληλο μοντέλο μηχανισμού ανύψωσης Top Stays ST που αντιστοιχεί στο παραπάνω βάρος πόρτας και στον συντελεστή δύναμης (LF). Η τιμή του δείκτη πρέπει να βρίσκεται εντός των ορίων των τιμών του αντίστοιχου μηχανισμού. Όσο πιο κοντά είναι ο συντελεστής δύναμης στη μέση τιμή του εύρους, τόσο ευκολότερη θα είναι η ρύθμιση του μηχανισμού. Εάν η τιμή βρίσκεται στο όριο του εύρους, επιλέξτε ένα ισχυρότερο μοντέλο.</t>
  </si>
  <si>
    <t xml:space="preserve">Επίλεξε το υλικό πόρτας από την παρακάτω λίστα και υπολόγισε το βάρος της πόρτας και τον απαιτούμενο συντελεστή δύναμης. </t>
  </si>
  <si>
    <r>
      <rPr>
        <b/>
        <sz val="11"/>
        <color theme="2" tint="-0.749992370372631"/>
        <rFont val="Calibri"/>
        <family val="2"/>
        <charset val="204"/>
        <scheme val="minor"/>
      </rPr>
      <t>Width</t>
    </r>
    <r>
      <rPr>
        <sz val="11"/>
        <color theme="2" tint="-0.749992370372631"/>
        <rFont val="Calibri"/>
        <family val="2"/>
        <charset val="204"/>
        <scheme val="minor"/>
      </rPr>
      <t>, in mm</t>
    </r>
  </si>
  <si>
    <r>
      <rPr>
        <b/>
        <sz val="11"/>
        <color theme="2" tint="-0.749992370372631"/>
        <rFont val="Calibri"/>
        <family val="2"/>
        <charset val="204"/>
        <scheme val="minor"/>
      </rPr>
      <t xml:space="preserve">Height, </t>
    </r>
    <r>
      <rPr>
        <sz val="11"/>
        <color theme="2" tint="-0.749992370372631"/>
        <rFont val="Calibri"/>
        <family val="2"/>
        <charset val="204"/>
        <scheme val="minor"/>
      </rPr>
      <t xml:space="preserve"> in mm (max. 1040мм)</t>
    </r>
  </si>
  <si>
    <t xml:space="preserve">Μέγεθος πόρτας και βάρος χερουλιού </t>
  </si>
  <si>
    <r>
      <rPr>
        <b/>
        <sz val="26"/>
        <color theme="2" tint="-0.499984740745262"/>
        <rFont val="Segoe UI"/>
        <family val="2"/>
        <charset val="204"/>
      </rPr>
      <t>TOP STAY</t>
    </r>
    <r>
      <rPr>
        <b/>
        <sz val="26"/>
        <color theme="2" tint="-0.749992370372631"/>
        <rFont val="Segoe UI"/>
        <family val="2"/>
        <charset val="204"/>
      </rPr>
      <t xml:space="preserve"> </t>
    </r>
    <r>
      <rPr>
        <b/>
        <sz val="26"/>
        <color rgb="FFC00000"/>
        <rFont val="Segoe UI"/>
        <family val="2"/>
        <charset val="204"/>
      </rPr>
      <t>ST</t>
    </r>
    <r>
      <rPr>
        <b/>
        <sz val="36"/>
        <color theme="2" tint="-0.749992370372631"/>
        <rFont val="Segoe UI"/>
        <family val="2"/>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</si>
</sst>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rgb="FF006100"/>
      <name val="Calibri"/>
      <family val="2"/>
      <charset val="204"/>
      <scheme val="minor"/>
    </font>
    <font>
      <sz val="11"/>
      <color rgb="FF9C6500"/>
      <name val="Calibri"/>
      <family val="2"/>
      <charset val="204"/>
      <scheme val="minor"/>
    </font>
    <font>
      <sz val="11"/>
      <color theme="2" tint="-0.749992370372631"/>
      <name val="Calibri"/>
      <family val="2"/>
      <charset val="204"/>
      <scheme val="minor"/>
    </font>
    <font>
      <b/>
      <sz val="11"/>
      <color theme="2" tint="-0.749992370372631"/>
      <name val="Calibri"/>
      <family val="2"/>
      <charset val="204"/>
      <scheme val="minor"/>
    </font>
    <font>
      <sz val="11"/>
      <color theme="0" tint="-4.9989318521683403E-2"/>
      <name val="Calibri"/>
      <family val="2"/>
      <charset val="204"/>
      <scheme val="minor"/>
    </font>
    <font>
      <b/>
      <sz val="11"/>
      <color theme="0" tint="-4.9989318521683403E-2"/>
      <name val="Calibri"/>
      <family val="2"/>
      <charset val="204"/>
      <scheme val="minor"/>
    </font>
    <font>
      <b/>
      <sz val="16"/>
      <color theme="2" tint="-0.749992370372631"/>
      <name val="Calibri"/>
      <family val="2"/>
      <charset val="204"/>
      <scheme val="minor"/>
    </font>
    <font>
      <u/>
      <sz val="11"/>
      <color theme="10"/>
      <name val="Calibri"/>
      <family val="2"/>
      <scheme val="minor"/>
    </font>
    <font>
      <b/>
      <sz val="36"/>
      <color theme="2" tint="-0.749992370372631"/>
      <name val="Segoe UI"/>
      <family val="2"/>
      <charset val="204"/>
    </font>
    <font>
      <sz val="11"/>
      <color theme="2" tint="-0.749992370372631"/>
      <name val="Calibri"/>
      <family val="2"/>
      <charset val="204"/>
    </font>
    <font>
      <b/>
      <sz val="26"/>
      <color theme="2" tint="-0.499984740745262"/>
      <name val="Segoe UI"/>
      <family val="2"/>
      <charset val="204"/>
    </font>
    <font>
      <b/>
      <sz val="26"/>
      <color theme="2" tint="-0.749992370372631"/>
      <name val="Segoe UI"/>
      <family val="2"/>
      <charset val="204"/>
    </font>
    <font>
      <b/>
      <sz val="26"/>
      <color rgb="FFC00000"/>
      <name val="Segoe UI"/>
      <family val="2"/>
      <charset val="204"/>
    </font>
    <font>
      <sz val="9"/>
      <name val="Calibri"/>
      <family val="3"/>
      <charset val="134"/>
      <scheme val="minor"/>
    </font>
    <font>
      <b/>
      <sz val="11"/>
      <color theme="0" tint="-4.9989318521683403E-2"/>
      <name val="Calibri"/>
      <family val="3"/>
      <charset val="134"/>
      <scheme val="minor"/>
    </font>
    <font>
      <b/>
      <sz val="10"/>
      <color theme="2" tint="-0.749992370372631"/>
      <name val="Calibri"/>
      <family val="2"/>
      <charset val="204"/>
      <scheme val="minor"/>
    </font>
    <font>
      <b/>
      <sz val="11"/>
      <color theme="2" tint="-0.749992370372631"/>
      <name val="Calibri"/>
      <family val="3"/>
      <charset val="134"/>
      <scheme val="minor"/>
    </font>
    <font>
      <sz val="11"/>
      <color theme="2" tint="-0.749992370372631"/>
      <name val="Calibri"/>
      <family val="3"/>
      <charset val="134"/>
      <scheme val="minor"/>
    </font>
    <font>
      <sz val="11"/>
      <color theme="2" tint="-0.749992370372631"/>
      <name val="等线"/>
      <family val="2"/>
      <charset val="134"/>
    </font>
    <font>
      <sz val="11"/>
      <color theme="1"/>
      <name val="Calibri"/>
      <family val="2"/>
      <scheme val="minor"/>
    </font>
    <font>
      <b/>
      <sz val="11"/>
      <color theme="0"/>
      <name val="Calibri"/>
      <family val="3"/>
      <charset val="134"/>
      <scheme val="minor"/>
    </font>
    <font>
      <b/>
      <sz val="11"/>
      <color theme="1"/>
      <name val="Calibri"/>
      <family val="3"/>
      <charset val="134"/>
      <scheme val="minor"/>
    </font>
    <font>
      <b/>
      <sz val="11"/>
      <color rgb="FFFFC000"/>
      <name val="Calibri"/>
      <family val="3"/>
      <charset val="134"/>
      <scheme val="minor"/>
    </font>
    <font>
      <b/>
      <sz val="12"/>
      <color theme="1"/>
      <name val="Calibri"/>
      <family val="3"/>
      <charset val="134"/>
      <scheme val="minor"/>
    </font>
    <font>
      <b/>
      <sz val="12"/>
      <color rgb="FFFFC000"/>
      <name val="Calibri"/>
      <family val="3"/>
      <charset val="134"/>
      <scheme val="minor"/>
    </font>
    <font>
      <b/>
      <sz val="11"/>
      <color theme="1"/>
      <name val="Calibri"/>
      <family val="2"/>
      <scheme val="minor"/>
    </font>
    <font>
      <b/>
      <sz val="15"/>
      <color theme="1"/>
      <name val="Calibri"/>
      <family val="3"/>
      <charset val="134"/>
      <scheme val="minor"/>
    </font>
    <font>
      <sz val="11"/>
      <color theme="1"/>
      <name val="Calibri"/>
      <family val="2"/>
      <charset val="204"/>
      <scheme val="minor"/>
    </font>
    <font>
      <sz val="11"/>
      <color theme="0"/>
      <name val="Calibri"/>
      <family val="2"/>
      <charset val="204"/>
      <scheme val="minor"/>
    </font>
    <font>
      <sz val="11"/>
      <name val="Calibri"/>
      <family val="2"/>
      <charset val="204"/>
      <scheme val="minor"/>
    </font>
    <font>
      <sz val="10"/>
      <color theme="1"/>
      <name val="Calibri"/>
      <family val="2"/>
      <charset val="161"/>
      <scheme val="minor"/>
    </font>
    <font>
      <sz val="8"/>
      <color theme="1"/>
      <name val="Calibri"/>
      <family val="2"/>
      <charset val="161"/>
      <scheme val="minor"/>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C61C34"/>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4D4D4D"/>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8" fillId="0" borderId="0" applyNumberFormat="0" applyFill="0" applyBorder="0" applyAlignment="0" applyProtection="0"/>
  </cellStyleXfs>
  <cellXfs count="186">
    <xf numFmtId="0" fontId="0" fillId="0" borderId="0" xfId="0"/>
    <xf numFmtId="0" fontId="0" fillId="0" borderId="1" xfId="0" applyBorder="1"/>
    <xf numFmtId="0" fontId="3" fillId="5" borderId="3" xfId="2" applyFont="1" applyFill="1" applyBorder="1" applyAlignment="1" applyProtection="1">
      <alignment horizontal="center" vertical="center"/>
      <protection hidden="1"/>
    </xf>
    <xf numFmtId="0" fontId="3" fillId="5" borderId="8" xfId="2" applyFont="1" applyFill="1" applyBorder="1" applyAlignment="1" applyProtection="1">
      <alignment horizontal="center" vertical="center"/>
      <protection hidden="1"/>
    </xf>
    <xf numFmtId="0" fontId="3" fillId="5" borderId="8" xfId="1" applyFont="1" applyFill="1" applyBorder="1" applyProtection="1">
      <protection hidden="1"/>
    </xf>
    <xf numFmtId="0" fontId="3" fillId="5" borderId="1" xfId="1" applyFont="1" applyFill="1" applyBorder="1" applyAlignment="1" applyProtection="1">
      <alignment horizontal="center"/>
      <protection hidden="1"/>
    </xf>
    <xf numFmtId="0" fontId="3" fillId="5" borderId="11" xfId="1" applyFont="1" applyFill="1" applyBorder="1" applyAlignment="1" applyProtection="1">
      <alignment horizontal="center"/>
      <protection hidden="1"/>
    </xf>
    <xf numFmtId="0" fontId="3" fillId="5" borderId="18" xfId="2" applyFont="1" applyFill="1" applyBorder="1" applyAlignment="1" applyProtection="1">
      <alignment horizontal="center" vertical="center"/>
      <protection hidden="1"/>
    </xf>
    <xf numFmtId="0" fontId="3" fillId="5" borderId="2" xfId="2" applyFont="1" applyFill="1" applyBorder="1" applyAlignment="1" applyProtection="1">
      <alignment horizontal="center" vertical="center"/>
      <protection hidden="1"/>
    </xf>
    <xf numFmtId="0" fontId="3" fillId="0" borderId="10" xfId="1" applyFont="1" applyFill="1" applyBorder="1" applyAlignment="1" applyProtection="1">
      <alignment horizontal="center" vertical="center"/>
      <protection locked="0" hidden="1"/>
    </xf>
    <xf numFmtId="0" fontId="3" fillId="0" borderId="11" xfId="1" applyFont="1" applyFill="1" applyBorder="1" applyAlignment="1" applyProtection="1">
      <alignment horizontal="center" vertical="center"/>
      <protection locked="0" hidden="1"/>
    </xf>
    <xf numFmtId="0" fontId="3" fillId="0" borderId="12" xfId="1" applyFont="1" applyFill="1" applyBorder="1" applyAlignment="1" applyProtection="1">
      <alignment horizontal="center" vertical="center"/>
      <protection locked="0" hidden="1"/>
    </xf>
    <xf numFmtId="0" fontId="0" fillId="0" borderId="1" xfId="0" applyBorder="1" applyProtection="1">
      <protection locked="0" hidden="1"/>
    </xf>
    <xf numFmtId="0" fontId="0" fillId="0" borderId="1" xfId="0" applyBorder="1" applyAlignment="1" applyProtection="1">
      <alignment horizontal="center" vertical="center"/>
      <protection locked="0" hidden="1"/>
    </xf>
    <xf numFmtId="0" fontId="4" fillId="5" borderId="1" xfId="1" applyFont="1" applyFill="1" applyBorder="1" applyAlignment="1" applyProtection="1">
      <alignment horizontal="center"/>
      <protection hidden="1"/>
    </xf>
    <xf numFmtId="2" fontId="3" fillId="5" borderId="11" xfId="0" applyNumberFormat="1" applyFont="1" applyFill="1" applyBorder="1" applyAlignment="1" applyProtection="1">
      <alignment horizontal="center" vertical="center"/>
      <protection hidden="1"/>
    </xf>
    <xf numFmtId="0" fontId="3" fillId="5" borderId="8" xfId="1" applyFont="1" applyFill="1" applyBorder="1" applyAlignment="1" applyProtection="1">
      <alignment horizontal="left" vertical="center"/>
      <protection hidden="1"/>
    </xf>
    <xf numFmtId="0" fontId="3" fillId="5" borderId="10" xfId="1" applyFont="1" applyFill="1" applyBorder="1" applyAlignment="1" applyProtection="1">
      <alignment horizontal="left" vertical="center"/>
      <protection hidden="1"/>
    </xf>
    <xf numFmtId="2" fontId="4" fillId="5" borderId="11" xfId="0" applyNumberFormat="1" applyFont="1" applyFill="1" applyBorder="1" applyAlignment="1" applyProtection="1">
      <alignment horizontal="center" vertical="center"/>
      <protection hidden="1"/>
    </xf>
    <xf numFmtId="0" fontId="3" fillId="5" borderId="13" xfId="1" applyFont="1" applyFill="1" applyBorder="1" applyAlignment="1" applyProtection="1">
      <alignment horizontal="left" vertical="center"/>
      <protection hidden="1"/>
    </xf>
    <xf numFmtId="0" fontId="4" fillId="5" borderId="19" xfId="2" applyFont="1" applyFill="1" applyBorder="1" applyAlignment="1" applyProtection="1">
      <alignment horizontal="center" vertical="center"/>
      <protection hidden="1"/>
    </xf>
    <xf numFmtId="0" fontId="16" fillId="5" borderId="19" xfId="2" applyFont="1" applyFill="1" applyBorder="1" applyAlignment="1" applyProtection="1">
      <alignment horizontal="center" vertical="center"/>
      <protection hidden="1"/>
    </xf>
    <xf numFmtId="0" fontId="0" fillId="0" borderId="0" xfId="0" applyAlignment="1">
      <alignment vertical="center" wrapText="1"/>
    </xf>
    <xf numFmtId="0" fontId="17" fillId="5" borderId="18" xfId="2" applyFont="1" applyFill="1" applyBorder="1" applyAlignment="1" applyProtection="1">
      <alignment horizontal="center" vertical="center"/>
      <protection hidden="1"/>
    </xf>
    <xf numFmtId="0" fontId="17" fillId="5" borderId="2" xfId="2" applyFont="1" applyFill="1" applyBorder="1" applyAlignment="1" applyProtection="1">
      <alignment horizontal="center" vertical="center"/>
      <protection hidden="1"/>
    </xf>
    <xf numFmtId="0" fontId="18" fillId="5" borderId="3" xfId="2" applyFont="1" applyFill="1" applyBorder="1" applyAlignment="1" applyProtection="1">
      <alignment horizontal="center" vertical="center"/>
      <protection hidden="1"/>
    </xf>
    <xf numFmtId="0" fontId="17" fillId="5" borderId="3" xfId="2" applyFont="1" applyFill="1" applyBorder="1" applyAlignment="1" applyProtection="1">
      <alignment horizontal="center" vertical="center"/>
      <protection hidden="1"/>
    </xf>
    <xf numFmtId="0" fontId="17" fillId="5" borderId="8" xfId="2" applyFont="1" applyFill="1" applyBorder="1" applyAlignment="1" applyProtection="1">
      <alignment horizontal="center" vertical="center"/>
      <protection hidden="1"/>
    </xf>
    <xf numFmtId="0" fontId="17" fillId="5" borderId="1" xfId="2" applyFont="1" applyFill="1" applyBorder="1" applyAlignment="1" applyProtection="1">
      <alignment horizontal="center" vertical="center"/>
      <protection hidden="1"/>
    </xf>
    <xf numFmtId="0" fontId="0" fillId="0" borderId="0" xfId="0" applyAlignment="1">
      <alignment vertical="center"/>
    </xf>
    <xf numFmtId="0" fontId="0" fillId="0" borderId="3" xfId="0" applyBorder="1" applyProtection="1">
      <protection locked="0" hidden="1"/>
    </xf>
    <xf numFmtId="0" fontId="21" fillId="4" borderId="1" xfId="1" applyFont="1" applyFill="1" applyBorder="1" applyAlignment="1" applyProtection="1">
      <alignment horizontal="center" vertical="center" wrapText="1"/>
      <protection hidden="1"/>
    </xf>
    <xf numFmtId="2" fontId="3" fillId="5" borderId="3" xfId="0" applyNumberFormat="1" applyFont="1" applyFill="1" applyBorder="1" applyAlignment="1" applyProtection="1">
      <alignment horizontal="center" vertical="center"/>
      <protection hidden="1"/>
    </xf>
    <xf numFmtId="0" fontId="21" fillId="4" borderId="38" xfId="1" applyFont="1" applyFill="1" applyBorder="1" applyAlignment="1" applyProtection="1">
      <alignment horizontal="center" vertical="center" wrapText="1"/>
      <protection hidden="1"/>
    </xf>
    <xf numFmtId="0" fontId="21" fillId="4" borderId="11" xfId="1" applyFont="1" applyFill="1" applyBorder="1" applyAlignment="1" applyProtection="1">
      <alignment horizontal="center" vertical="center" wrapText="1"/>
      <protection hidden="1"/>
    </xf>
    <xf numFmtId="0" fontId="0" fillId="0" borderId="40" xfId="0" applyBorder="1"/>
    <xf numFmtId="0" fontId="0" fillId="0" borderId="34" xfId="0" applyBorder="1"/>
    <xf numFmtId="0" fontId="26" fillId="0" borderId="0" xfId="2" applyFont="1" applyFill="1" applyBorder="1" applyAlignment="1" applyProtection="1">
      <alignment horizontal="center" vertical="center"/>
      <protection hidden="1"/>
    </xf>
    <xf numFmtId="0" fontId="20" fillId="0" borderId="0" xfId="0" applyFont="1" applyAlignment="1">
      <alignment vertical="center" wrapText="1"/>
    </xf>
    <xf numFmtId="0" fontId="20" fillId="0" borderId="0" xfId="0" applyFont="1"/>
    <xf numFmtId="0" fontId="26" fillId="0" borderId="0" xfId="2" applyFont="1" applyFill="1" applyBorder="1" applyAlignment="1" applyProtection="1">
      <alignment horizontal="center" vertical="center" wrapText="1"/>
      <protection hidden="1"/>
    </xf>
    <xf numFmtId="2" fontId="17" fillId="8" borderId="38" xfId="0" applyNumberFormat="1" applyFont="1" applyFill="1" applyBorder="1" applyAlignment="1" applyProtection="1">
      <alignment horizontal="center" vertical="center"/>
      <protection hidden="1"/>
    </xf>
    <xf numFmtId="0" fontId="24" fillId="8" borderId="1" xfId="0" applyFont="1" applyFill="1" applyBorder="1" applyAlignment="1">
      <alignment horizontal="center" vertical="center" wrapText="1"/>
    </xf>
    <xf numFmtId="0" fontId="22" fillId="8" borderId="11" xfId="0" applyFont="1" applyFill="1" applyBorder="1" applyAlignment="1">
      <alignment horizontal="center" vertical="center" wrapText="1"/>
    </xf>
    <xf numFmtId="0" fontId="24" fillId="8" borderId="11" xfId="0" applyFont="1" applyFill="1" applyBorder="1" applyAlignment="1">
      <alignment horizontal="center" vertical="center" wrapText="1"/>
    </xf>
    <xf numFmtId="0" fontId="21" fillId="7" borderId="25" xfId="0" applyFont="1" applyFill="1" applyBorder="1" applyAlignment="1">
      <alignment horizontal="center" vertical="center"/>
    </xf>
    <xf numFmtId="0" fontId="21" fillId="7" borderId="30" xfId="0" applyFont="1" applyFill="1" applyBorder="1" applyAlignment="1">
      <alignment horizontal="center" vertical="center"/>
    </xf>
    <xf numFmtId="0" fontId="22" fillId="0" borderId="0" xfId="0" applyFont="1" applyAlignment="1">
      <alignment horizontal="center" vertical="center"/>
    </xf>
    <xf numFmtId="0" fontId="21" fillId="0" borderId="0" xfId="0" applyFont="1" applyAlignment="1">
      <alignment horizontal="center" vertical="center"/>
    </xf>
    <xf numFmtId="0" fontId="21" fillId="7" borderId="44" xfId="0" applyFont="1" applyFill="1" applyBorder="1" applyAlignment="1">
      <alignment horizontal="center" vertical="center" wrapText="1"/>
    </xf>
    <xf numFmtId="0" fontId="22" fillId="6" borderId="37" xfId="0" applyFont="1" applyFill="1" applyBorder="1" applyAlignment="1">
      <alignment horizontal="center" vertical="center" wrapText="1"/>
    </xf>
    <xf numFmtId="0" fontId="22" fillId="6" borderId="22" xfId="0" applyFont="1" applyFill="1" applyBorder="1" applyAlignment="1">
      <alignment horizontal="center" vertical="center"/>
    </xf>
    <xf numFmtId="0" fontId="22" fillId="6" borderId="23" xfId="0" applyFont="1" applyFill="1" applyBorder="1" applyAlignment="1">
      <alignment horizontal="center" vertical="center"/>
    </xf>
    <xf numFmtId="0" fontId="3" fillId="5" borderId="1" xfId="2" applyFont="1" applyFill="1" applyBorder="1" applyAlignment="1" applyProtection="1">
      <alignment horizontal="center" vertical="center"/>
      <protection hidden="1"/>
    </xf>
    <xf numFmtId="2" fontId="4" fillId="5" borderId="3" xfId="0" applyNumberFormat="1" applyFont="1" applyFill="1" applyBorder="1" applyAlignment="1" applyProtection="1">
      <alignment horizontal="center" vertical="center"/>
      <protection hidden="1"/>
    </xf>
    <xf numFmtId="0" fontId="27" fillId="0" borderId="0" xfId="0" applyFont="1" applyAlignment="1">
      <alignment horizontal="center" vertical="center"/>
    </xf>
    <xf numFmtId="0" fontId="3" fillId="5" borderId="1" xfId="2" applyFont="1" applyFill="1" applyBorder="1" applyAlignment="1" applyProtection="1">
      <alignment horizontal="left" vertical="center"/>
      <protection hidden="1"/>
    </xf>
    <xf numFmtId="0" fontId="28" fillId="9" borderId="1" xfId="0" applyFont="1" applyFill="1" applyBorder="1" applyAlignment="1">
      <alignment horizontal="center" vertical="center" wrapText="1"/>
    </xf>
    <xf numFmtId="0" fontId="29" fillId="7" borderId="9" xfId="0" applyFont="1" applyFill="1" applyBorder="1" applyAlignment="1">
      <alignment horizontal="center" vertical="center" wrapText="1"/>
    </xf>
    <xf numFmtId="0" fontId="21" fillId="0" borderId="0" xfId="0" applyFont="1" applyAlignment="1">
      <alignment horizontal="center" vertical="center" wrapText="1"/>
    </xf>
    <xf numFmtId="0" fontId="3" fillId="5" borderId="1" xfId="1" applyFont="1" applyFill="1" applyBorder="1" applyAlignment="1" applyProtection="1">
      <alignment horizontal="left" vertical="center"/>
      <protection hidden="1"/>
    </xf>
    <xf numFmtId="0" fontId="22" fillId="9" borderId="1" xfId="0" applyFont="1" applyFill="1" applyBorder="1" applyAlignment="1">
      <alignment horizontal="center" vertical="center"/>
    </xf>
    <xf numFmtId="0" fontId="21" fillId="7" borderId="9" xfId="0" applyFont="1" applyFill="1" applyBorder="1" applyAlignment="1">
      <alignment horizontal="center" vertical="center"/>
    </xf>
    <xf numFmtId="0" fontId="0" fillId="0" borderId="0" xfId="0" applyProtection="1">
      <protection locked="0" hidden="1"/>
    </xf>
    <xf numFmtId="0" fontId="3" fillId="5" borderId="3" xfId="1" applyFont="1" applyFill="1" applyBorder="1" applyAlignment="1" applyProtection="1">
      <alignment horizontal="left" vertical="center"/>
      <protection hidden="1"/>
    </xf>
    <xf numFmtId="0" fontId="4" fillId="5" borderId="3" xfId="1" applyFont="1" applyFill="1" applyBorder="1" applyAlignment="1" applyProtection="1">
      <alignment horizontal="center"/>
      <protection hidden="1"/>
    </xf>
    <xf numFmtId="0" fontId="22" fillId="9" borderId="3" xfId="0" applyFont="1" applyFill="1" applyBorder="1" applyAlignment="1">
      <alignment horizontal="center" vertical="center"/>
    </xf>
    <xf numFmtId="0" fontId="21" fillId="7" borderId="46" xfId="0" applyFont="1" applyFill="1" applyBorder="1" applyAlignment="1">
      <alignment horizontal="center" vertical="center"/>
    </xf>
    <xf numFmtId="0" fontId="4" fillId="5" borderId="1" xfId="2" applyFont="1" applyFill="1" applyBorder="1" applyAlignment="1" applyProtection="1">
      <alignment horizontal="center" vertical="center"/>
      <protection hidden="1"/>
    </xf>
    <xf numFmtId="0" fontId="17" fillId="0" borderId="3" xfId="1" applyFont="1" applyFill="1" applyBorder="1" applyAlignment="1" applyProtection="1">
      <alignment horizontal="center" vertical="center"/>
      <protection locked="0" hidden="1"/>
    </xf>
    <xf numFmtId="0" fontId="23" fillId="7" borderId="11" xfId="0" applyFont="1" applyFill="1" applyBorder="1" applyAlignment="1">
      <alignment horizontal="center" vertical="center"/>
    </xf>
    <xf numFmtId="0" fontId="23" fillId="7" borderId="12" xfId="0" applyFont="1" applyFill="1" applyBorder="1" applyAlignment="1">
      <alignment horizontal="center" vertical="center"/>
    </xf>
    <xf numFmtId="0" fontId="25" fillId="7" borderId="38" xfId="0" applyFont="1" applyFill="1" applyBorder="1" applyAlignment="1">
      <alignment horizontal="center" vertical="center"/>
    </xf>
    <xf numFmtId="0" fontId="25" fillId="7" borderId="39" xfId="0" applyFont="1" applyFill="1" applyBorder="1" applyAlignment="1">
      <alignment horizontal="center" vertical="center"/>
    </xf>
    <xf numFmtId="0" fontId="25" fillId="7" borderId="1" xfId="0" applyFont="1" applyFill="1" applyBorder="1" applyAlignment="1">
      <alignment horizontal="center" vertical="center"/>
    </xf>
    <xf numFmtId="0" fontId="25" fillId="7" borderId="9" xfId="0" applyFont="1" applyFill="1" applyBorder="1" applyAlignment="1">
      <alignment horizontal="center" vertical="center"/>
    </xf>
    <xf numFmtId="0" fontId="6" fillId="4" borderId="36" xfId="1" applyFont="1" applyFill="1" applyBorder="1" applyAlignment="1" applyProtection="1">
      <alignment horizontal="center" vertical="center"/>
      <protection hidden="1"/>
    </xf>
    <xf numFmtId="0" fontId="6" fillId="4" borderId="35" xfId="1" applyFont="1" applyFill="1" applyBorder="1" applyAlignment="1" applyProtection="1">
      <alignment horizontal="center" vertical="center"/>
      <protection hidden="1"/>
    </xf>
    <xf numFmtId="0" fontId="6" fillId="4" borderId="15" xfId="1" applyFont="1" applyFill="1" applyBorder="1" applyAlignment="1" applyProtection="1">
      <alignment horizontal="center" vertical="center"/>
      <protection hidden="1"/>
    </xf>
    <xf numFmtId="0" fontId="8" fillId="0" borderId="26" xfId="3" applyBorder="1" applyAlignment="1" applyProtection="1">
      <alignment horizontal="center" vertical="center"/>
      <protection hidden="1"/>
    </xf>
    <xf numFmtId="0" fontId="0" fillId="0" borderId="27" xfId="0" applyBorder="1" applyAlignment="1" applyProtection="1">
      <alignment horizontal="center" vertical="center"/>
      <protection hidden="1"/>
    </xf>
    <xf numFmtId="0" fontId="0" fillId="0" borderId="24" xfId="0" applyBorder="1" applyAlignment="1" applyProtection="1">
      <alignment horizontal="center" vertical="center"/>
      <protection hidden="1"/>
    </xf>
    <xf numFmtId="0" fontId="0" fillId="0" borderId="29" xfId="0" applyBorder="1" applyAlignment="1" applyProtection="1">
      <alignment horizontal="center" vertical="center"/>
      <protection hidden="1"/>
    </xf>
    <xf numFmtId="0" fontId="0" fillId="0" borderId="20" xfId="0" applyBorder="1" applyAlignment="1" applyProtection="1">
      <alignment horizontal="center" vertical="center"/>
      <protection hidden="1"/>
    </xf>
    <xf numFmtId="0" fontId="0" fillId="0" borderId="30" xfId="0" applyBorder="1" applyAlignment="1" applyProtection="1">
      <alignment horizontal="center" vertical="center"/>
      <protection hidden="1"/>
    </xf>
    <xf numFmtId="0" fontId="4" fillId="5" borderId="1" xfId="1" applyFont="1" applyFill="1" applyBorder="1" applyAlignment="1" applyProtection="1">
      <alignment horizontal="center"/>
      <protection hidden="1"/>
    </xf>
    <xf numFmtId="0" fontId="4" fillId="5" borderId="9" xfId="1" applyFont="1" applyFill="1" applyBorder="1" applyAlignment="1" applyProtection="1">
      <alignment horizontal="center"/>
      <protection hidden="1"/>
    </xf>
    <xf numFmtId="0" fontId="12" fillId="0" borderId="26" xfId="0" applyFont="1" applyBorder="1" applyAlignment="1" applyProtection="1">
      <alignment horizontal="left" vertical="center"/>
      <protection hidden="1"/>
    </xf>
    <xf numFmtId="0" fontId="9" fillId="0" borderId="27" xfId="0" applyFont="1" applyBorder="1" applyAlignment="1" applyProtection="1">
      <alignment horizontal="left" vertical="center"/>
      <protection hidden="1"/>
    </xf>
    <xf numFmtId="0" fontId="9" fillId="0" borderId="24" xfId="0" applyFont="1" applyBorder="1" applyAlignment="1" applyProtection="1">
      <alignment horizontal="left" vertical="center"/>
      <protection hidden="1"/>
    </xf>
    <xf numFmtId="0" fontId="9" fillId="0" borderId="28" xfId="0" applyFont="1" applyBorder="1" applyAlignment="1" applyProtection="1">
      <alignment horizontal="left" vertical="center"/>
      <protection hidden="1"/>
    </xf>
    <xf numFmtId="0" fontId="9" fillId="0" borderId="0" xfId="0" applyFont="1" applyAlignment="1" applyProtection="1">
      <alignment horizontal="left" vertical="center"/>
      <protection hidden="1"/>
    </xf>
    <xf numFmtId="0" fontId="9" fillId="0" borderId="25" xfId="0" applyFont="1" applyBorder="1" applyAlignment="1" applyProtection="1">
      <alignment horizontal="left" vertical="center"/>
      <protection hidden="1"/>
    </xf>
    <xf numFmtId="0" fontId="9" fillId="0" borderId="29" xfId="0" applyFont="1" applyBorder="1" applyAlignment="1" applyProtection="1">
      <alignment horizontal="left" vertical="center"/>
      <protection hidden="1"/>
    </xf>
    <xf numFmtId="0" fontId="9" fillId="0" borderId="20" xfId="0" applyFont="1" applyBorder="1" applyAlignment="1" applyProtection="1">
      <alignment horizontal="left" vertical="center"/>
      <protection hidden="1"/>
    </xf>
    <xf numFmtId="0" fontId="9" fillId="0" borderId="30" xfId="0" applyFont="1" applyBorder="1" applyAlignment="1" applyProtection="1">
      <alignment horizontal="left" vertical="center"/>
      <protection hidden="1"/>
    </xf>
    <xf numFmtId="0" fontId="6" fillId="4" borderId="21" xfId="1" applyFont="1" applyFill="1" applyBorder="1" applyAlignment="1" applyProtection="1">
      <alignment horizontal="center" vertical="center"/>
      <protection hidden="1"/>
    </xf>
    <xf numFmtId="0" fontId="6" fillId="4" borderId="22" xfId="1" applyFont="1" applyFill="1" applyBorder="1" applyAlignment="1" applyProtection="1">
      <alignment horizontal="center" vertical="center"/>
      <protection hidden="1"/>
    </xf>
    <xf numFmtId="0" fontId="6" fillId="4" borderId="23" xfId="1" applyFont="1" applyFill="1" applyBorder="1" applyAlignment="1" applyProtection="1">
      <alignment horizontal="center" vertical="center"/>
      <protection hidden="1"/>
    </xf>
    <xf numFmtId="0" fontId="5" fillId="4" borderId="5" xfId="1" applyFont="1" applyFill="1" applyBorder="1" applyAlignment="1" applyProtection="1">
      <alignment horizontal="center" vertical="center"/>
      <protection hidden="1"/>
    </xf>
    <xf numFmtId="0" fontId="5" fillId="4" borderId="6" xfId="1" applyFont="1" applyFill="1" applyBorder="1" applyAlignment="1" applyProtection="1">
      <alignment horizontal="center" vertical="center"/>
      <protection hidden="1"/>
    </xf>
    <xf numFmtId="0" fontId="5" fillId="4" borderId="7" xfId="1" applyFont="1" applyFill="1" applyBorder="1" applyAlignment="1" applyProtection="1">
      <alignment horizontal="center" vertical="center"/>
      <protection hidden="1"/>
    </xf>
    <xf numFmtId="0" fontId="1" fillId="4" borderId="13" xfId="1" applyFill="1" applyBorder="1" applyAlignment="1" applyProtection="1">
      <alignment horizontal="center"/>
      <protection hidden="1"/>
    </xf>
    <xf numFmtId="0" fontId="1" fillId="4" borderId="15" xfId="1" applyFill="1" applyBorder="1" applyAlignment="1" applyProtection="1">
      <alignment horizontal="center"/>
      <protection hidden="1"/>
    </xf>
    <xf numFmtId="0" fontId="17" fillId="5" borderId="4" xfId="2" applyFont="1" applyFill="1" applyBorder="1" applyAlignment="1" applyProtection="1">
      <alignment horizontal="center" vertical="center"/>
      <protection hidden="1"/>
    </xf>
    <xf numFmtId="0" fontId="17" fillId="5" borderId="14" xfId="2" applyFont="1" applyFill="1" applyBorder="1" applyAlignment="1" applyProtection="1">
      <alignment horizontal="center" vertical="center"/>
      <protection hidden="1"/>
    </xf>
    <xf numFmtId="1" fontId="18" fillId="5" borderId="16" xfId="0" applyNumberFormat="1" applyFont="1" applyFill="1" applyBorder="1" applyAlignment="1" applyProtection="1">
      <alignment horizontal="center" vertical="center"/>
      <protection hidden="1"/>
    </xf>
    <xf numFmtId="1" fontId="18" fillId="5" borderId="17" xfId="0" applyNumberFormat="1" applyFont="1" applyFill="1" applyBorder="1" applyAlignment="1" applyProtection="1">
      <alignment horizontal="center" vertical="center"/>
      <protection hidden="1"/>
    </xf>
    <xf numFmtId="0" fontId="0" fillId="0" borderId="1" xfId="0" applyBorder="1" applyAlignment="1">
      <alignment horizontal="center" vertical="center"/>
    </xf>
    <xf numFmtId="0" fontId="7" fillId="5" borderId="0" xfId="2" applyFont="1" applyFill="1" applyBorder="1" applyAlignment="1" applyProtection="1">
      <alignment horizontal="center" vertical="center"/>
      <protection hidden="1"/>
    </xf>
    <xf numFmtId="0" fontId="7" fillId="5" borderId="20" xfId="2"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protection hidden="1"/>
    </xf>
    <xf numFmtId="0" fontId="5" fillId="4" borderId="32" xfId="1" applyFont="1" applyFill="1" applyBorder="1" applyAlignment="1" applyProtection="1">
      <alignment horizontal="center" vertical="center"/>
      <protection hidden="1"/>
    </xf>
    <xf numFmtId="0" fontId="5" fillId="4" borderId="33" xfId="1" applyFont="1" applyFill="1" applyBorder="1" applyAlignment="1" applyProtection="1">
      <alignment horizontal="center" vertical="center"/>
      <protection hidden="1"/>
    </xf>
    <xf numFmtId="0" fontId="5" fillId="4" borderId="31" xfId="1" applyFont="1" applyFill="1" applyBorder="1" applyAlignment="1" applyProtection="1">
      <alignment horizontal="center" vertical="center" wrapText="1"/>
      <protection hidden="1"/>
    </xf>
    <xf numFmtId="0" fontId="5" fillId="4" borderId="32" xfId="1" applyFont="1" applyFill="1" applyBorder="1" applyAlignment="1" applyProtection="1">
      <alignment horizontal="center" vertical="center" wrapText="1"/>
      <protection hidden="1"/>
    </xf>
    <xf numFmtId="0" fontId="5" fillId="4" borderId="33" xfId="1" applyFont="1" applyFill="1" applyBorder="1" applyAlignment="1" applyProtection="1">
      <alignment horizontal="center" vertical="center" wrapText="1"/>
      <protection hidden="1"/>
    </xf>
    <xf numFmtId="0" fontId="17" fillId="5" borderId="1" xfId="2" applyFont="1" applyFill="1" applyBorder="1" applyAlignment="1" applyProtection="1">
      <alignment horizontal="center" vertical="center"/>
      <protection hidden="1"/>
    </xf>
    <xf numFmtId="0" fontId="17" fillId="5" borderId="9" xfId="2" applyFont="1" applyFill="1" applyBorder="1" applyAlignment="1" applyProtection="1">
      <alignment horizontal="center" vertical="center"/>
      <protection hidden="1"/>
    </xf>
    <xf numFmtId="0" fontId="4" fillId="5" borderId="11" xfId="1" applyFont="1" applyFill="1" applyBorder="1" applyAlignment="1" applyProtection="1">
      <alignment horizontal="center"/>
      <protection hidden="1"/>
    </xf>
    <xf numFmtId="0" fontId="4" fillId="5" borderId="12" xfId="1" applyFont="1" applyFill="1" applyBorder="1" applyAlignment="1" applyProtection="1">
      <alignment horizontal="center"/>
      <protection hidden="1"/>
    </xf>
    <xf numFmtId="0" fontId="5" fillId="4" borderId="5" xfId="1" applyFont="1" applyFill="1" applyBorder="1" applyAlignment="1" applyProtection="1">
      <alignment horizontal="center" vertical="center" wrapText="1"/>
      <protection hidden="1"/>
    </xf>
    <xf numFmtId="0" fontId="5" fillId="4" borderId="6" xfId="1" applyFont="1" applyFill="1" applyBorder="1" applyAlignment="1" applyProtection="1">
      <alignment horizontal="center" vertical="center" wrapText="1"/>
      <protection hidden="1"/>
    </xf>
    <xf numFmtId="0" fontId="5" fillId="4" borderId="7" xfId="1" applyFont="1" applyFill="1" applyBorder="1" applyAlignment="1" applyProtection="1">
      <alignment horizontal="center" vertical="center" wrapText="1"/>
      <protection hidden="1"/>
    </xf>
    <xf numFmtId="0" fontId="9" fillId="0" borderId="26" xfId="0" applyFont="1" applyBorder="1" applyAlignment="1" applyProtection="1">
      <alignment horizontal="left" vertical="center"/>
      <protection hidden="1"/>
    </xf>
    <xf numFmtId="1" fontId="4" fillId="5" borderId="16" xfId="0" applyNumberFormat="1" applyFont="1" applyFill="1" applyBorder="1" applyAlignment="1" applyProtection="1">
      <alignment horizontal="center" vertical="center"/>
      <protection hidden="1"/>
    </xf>
    <xf numFmtId="1" fontId="4" fillId="5" borderId="17" xfId="0" applyNumberFormat="1" applyFont="1" applyFill="1" applyBorder="1" applyAlignment="1" applyProtection="1">
      <alignment horizontal="center" vertical="center"/>
      <protection hidden="1"/>
    </xf>
    <xf numFmtId="0" fontId="21" fillId="4" borderId="41" xfId="1" applyFont="1" applyFill="1" applyBorder="1" applyAlignment="1" applyProtection="1">
      <alignment horizontal="center" vertical="center" wrapText="1"/>
      <protection hidden="1"/>
    </xf>
    <xf numFmtId="0" fontId="21" fillId="4" borderId="42" xfId="1" applyFont="1" applyFill="1" applyBorder="1" applyAlignment="1" applyProtection="1">
      <alignment horizontal="center" vertical="center" wrapText="1"/>
      <protection hidden="1"/>
    </xf>
    <xf numFmtId="2" fontId="17" fillId="8" borderId="38" xfId="0" applyNumberFormat="1" applyFont="1" applyFill="1" applyBorder="1" applyAlignment="1" applyProtection="1">
      <alignment horizontal="center" vertical="center"/>
      <protection hidden="1"/>
    </xf>
    <xf numFmtId="2" fontId="17" fillId="8" borderId="39" xfId="0" applyNumberFormat="1" applyFont="1" applyFill="1" applyBorder="1" applyAlignment="1" applyProtection="1">
      <alignment horizontal="center" vertical="center"/>
      <protection hidden="1"/>
    </xf>
    <xf numFmtId="0" fontId="24" fillId="8" borderId="16" xfId="0" applyFont="1" applyFill="1" applyBorder="1" applyAlignment="1">
      <alignment horizontal="center" vertical="center" wrapText="1"/>
    </xf>
    <xf numFmtId="0" fontId="24" fillId="8" borderId="17" xfId="0" applyFont="1" applyFill="1" applyBorder="1" applyAlignment="1">
      <alignment horizontal="center" vertical="center" wrapText="1"/>
    </xf>
    <xf numFmtId="0" fontId="1" fillId="4" borderId="35" xfId="1" applyFill="1" applyBorder="1" applyAlignment="1" applyProtection="1">
      <alignment horizontal="center"/>
      <protection hidden="1"/>
    </xf>
    <xf numFmtId="0" fontId="4" fillId="5" borderId="4" xfId="2" applyFont="1" applyFill="1" applyBorder="1" applyAlignment="1" applyProtection="1">
      <alignment horizontal="center" vertical="center"/>
      <protection hidden="1"/>
    </xf>
    <xf numFmtId="0" fontId="4" fillId="5" borderId="14" xfId="2" applyFont="1" applyFill="1" applyBorder="1" applyAlignment="1" applyProtection="1">
      <alignment horizontal="center" vertical="center"/>
      <protection hidden="1"/>
    </xf>
    <xf numFmtId="1" fontId="4" fillId="5" borderId="4" xfId="0" applyNumberFormat="1" applyFont="1" applyFill="1" applyBorder="1" applyAlignment="1" applyProtection="1">
      <alignment horizontal="center" vertical="center"/>
      <protection hidden="1"/>
    </xf>
    <xf numFmtId="1" fontId="4" fillId="5" borderId="14" xfId="0" applyNumberFormat="1" applyFont="1" applyFill="1" applyBorder="1" applyAlignment="1" applyProtection="1">
      <alignment horizontal="center" vertical="center"/>
      <protection hidden="1"/>
    </xf>
    <xf numFmtId="0" fontId="27" fillId="0" borderId="43" xfId="0" applyFont="1" applyBorder="1" applyAlignment="1">
      <alignment horizontal="center" vertical="center"/>
    </xf>
    <xf numFmtId="0" fontId="27" fillId="0" borderId="44" xfId="0" applyFont="1" applyBorder="1" applyAlignment="1">
      <alignment horizontal="center" vertical="center"/>
    </xf>
    <xf numFmtId="0" fontId="6" fillId="4" borderId="28" xfId="1" applyFont="1" applyFill="1" applyBorder="1" applyAlignment="1" applyProtection="1">
      <alignment horizontal="center" vertical="center"/>
      <protection hidden="1"/>
    </xf>
    <xf numFmtId="0" fontId="31" fillId="0" borderId="0" xfId="0" applyFont="1" applyAlignment="1">
      <alignment horizontal="left" wrapText="1"/>
    </xf>
    <xf numFmtId="0" fontId="0" fillId="0" borderId="0" xfId="0" applyAlignment="1">
      <alignment horizontal="left" wrapText="1"/>
    </xf>
    <xf numFmtId="0" fontId="8" fillId="0" borderId="28" xfId="3" applyBorder="1" applyAlignment="1" applyProtection="1">
      <alignment horizontal="center" vertical="center"/>
      <protection hidden="1"/>
    </xf>
    <xf numFmtId="0" fontId="8" fillId="0" borderId="0" xfId="3" applyBorder="1" applyAlignment="1" applyProtection="1">
      <alignment horizontal="center" vertical="center"/>
      <protection hidden="1"/>
    </xf>
    <xf numFmtId="0" fontId="8" fillId="0" borderId="25" xfId="3" applyBorder="1" applyAlignment="1" applyProtection="1">
      <alignment horizontal="center" vertical="center"/>
      <protection hidden="1"/>
    </xf>
    <xf numFmtId="0" fontId="8" fillId="0" borderId="29" xfId="3" applyBorder="1" applyAlignment="1" applyProtection="1">
      <alignment horizontal="center" vertical="center"/>
      <protection hidden="1"/>
    </xf>
    <xf numFmtId="0" fontId="8" fillId="0" borderId="20" xfId="3" applyBorder="1" applyAlignment="1" applyProtection="1">
      <alignment horizontal="center" vertical="center"/>
      <protection hidden="1"/>
    </xf>
    <xf numFmtId="0" fontId="8" fillId="0" borderId="30" xfId="3" applyBorder="1" applyAlignment="1" applyProtection="1">
      <alignment horizontal="center" vertical="center"/>
      <protection hidden="1"/>
    </xf>
    <xf numFmtId="0" fontId="22" fillId="10" borderId="47" xfId="0" applyFont="1" applyFill="1" applyBorder="1" applyAlignment="1">
      <alignment horizontal="center" vertical="center"/>
    </xf>
    <xf numFmtId="0" fontId="22" fillId="10" borderId="48" xfId="0" applyFont="1" applyFill="1" applyBorder="1" applyAlignment="1">
      <alignment horizontal="center" vertical="center"/>
    </xf>
    <xf numFmtId="0" fontId="3" fillId="5" borderId="47" xfId="1" applyFont="1" applyFill="1" applyBorder="1" applyAlignment="1" applyProtection="1">
      <alignment horizontal="center" vertical="center"/>
      <protection hidden="1"/>
    </xf>
    <xf numFmtId="0" fontId="3" fillId="5" borderId="34" xfId="1" applyFont="1" applyFill="1" applyBorder="1" applyAlignment="1" applyProtection="1">
      <alignment horizontal="center" vertical="center"/>
      <protection hidden="1"/>
    </xf>
    <xf numFmtId="0" fontId="4" fillId="5" borderId="3" xfId="1" applyFont="1" applyFill="1" applyBorder="1" applyAlignment="1" applyProtection="1">
      <alignment horizontal="center"/>
      <protection hidden="1"/>
    </xf>
    <xf numFmtId="0" fontId="5" fillId="4" borderId="38" xfId="1" applyFont="1" applyFill="1" applyBorder="1" applyAlignment="1" applyProtection="1">
      <alignment horizontal="center" vertical="center" wrapText="1"/>
      <protection hidden="1"/>
    </xf>
    <xf numFmtId="0" fontId="5" fillId="4" borderId="39" xfId="1" applyFont="1" applyFill="1" applyBorder="1" applyAlignment="1" applyProtection="1">
      <alignment horizontal="center" vertical="center" wrapText="1"/>
      <protection hidden="1"/>
    </xf>
    <xf numFmtId="0" fontId="30" fillId="10" borderId="47" xfId="1" applyFont="1" applyFill="1" applyBorder="1" applyAlignment="1" applyProtection="1">
      <alignment horizontal="center" vertical="center" wrapText="1"/>
      <protection hidden="1"/>
    </xf>
    <xf numFmtId="0" fontId="5" fillId="10" borderId="34" xfId="1" applyFont="1" applyFill="1" applyBorder="1" applyAlignment="1" applyProtection="1">
      <alignment horizontal="center" vertical="center" wrapText="1"/>
      <protection hidden="1"/>
    </xf>
    <xf numFmtId="0" fontId="3" fillId="5" borderId="1" xfId="2" applyFont="1" applyFill="1" applyBorder="1" applyAlignment="1" applyProtection="1">
      <alignment horizontal="center" vertical="center"/>
      <protection hidden="1"/>
    </xf>
    <xf numFmtId="0" fontId="30" fillId="10" borderId="48" xfId="1" applyFont="1" applyFill="1" applyBorder="1" applyAlignment="1" applyProtection="1">
      <alignment horizontal="center" vertical="center" wrapText="1"/>
      <protection hidden="1"/>
    </xf>
    <xf numFmtId="0" fontId="3" fillId="5" borderId="16" xfId="1" applyFont="1" applyFill="1" applyBorder="1" applyAlignment="1" applyProtection="1">
      <alignment horizontal="center" vertical="center"/>
      <protection hidden="1"/>
    </xf>
    <xf numFmtId="0" fontId="3" fillId="5" borderId="49" xfId="1" applyFont="1" applyFill="1" applyBorder="1" applyAlignment="1" applyProtection="1">
      <alignment horizontal="center" vertical="center"/>
      <protection hidden="1"/>
    </xf>
    <xf numFmtId="0" fontId="22" fillId="10" borderId="16" xfId="0" applyFont="1" applyFill="1" applyBorder="1" applyAlignment="1">
      <alignment horizontal="center" vertical="center"/>
    </xf>
    <xf numFmtId="0" fontId="22" fillId="10" borderId="17" xfId="0" applyFont="1" applyFill="1" applyBorder="1" applyAlignment="1">
      <alignment horizontal="center" vertical="center"/>
    </xf>
    <xf numFmtId="0" fontId="6" fillId="4" borderId="45" xfId="1" applyFont="1" applyFill="1" applyBorder="1" applyAlignment="1" applyProtection="1">
      <alignment horizontal="center" vertical="center"/>
      <protection hidden="1"/>
    </xf>
    <xf numFmtId="0" fontId="6" fillId="4" borderId="8" xfId="1" applyFont="1" applyFill="1" applyBorder="1" applyAlignment="1" applyProtection="1">
      <alignment horizontal="center" vertical="center"/>
      <protection hidden="1"/>
    </xf>
    <xf numFmtId="0" fontId="6" fillId="4" borderId="13" xfId="1" applyFont="1" applyFill="1" applyBorder="1" applyAlignment="1" applyProtection="1">
      <alignment horizontal="center" vertical="center"/>
      <protection hidden="1"/>
    </xf>
    <xf numFmtId="0" fontId="5" fillId="4" borderId="38" xfId="1" applyFont="1" applyFill="1" applyBorder="1" applyAlignment="1" applyProtection="1">
      <alignment horizontal="center" vertical="center"/>
      <protection hidden="1"/>
    </xf>
    <xf numFmtId="0" fontId="5" fillId="4" borderId="39" xfId="1" applyFont="1" applyFill="1" applyBorder="1" applyAlignment="1" applyProtection="1">
      <alignment horizontal="center" vertical="center"/>
      <protection hidden="1"/>
    </xf>
    <xf numFmtId="0" fontId="1" fillId="4" borderId="1" xfId="1" applyFill="1" applyBorder="1" applyAlignment="1" applyProtection="1">
      <alignment horizontal="center"/>
      <protection hidden="1"/>
    </xf>
    <xf numFmtId="0" fontId="1" fillId="4" borderId="3" xfId="1" applyFill="1" applyBorder="1" applyAlignment="1" applyProtection="1">
      <alignment horizontal="center"/>
      <protection hidden="1"/>
    </xf>
    <xf numFmtId="0" fontId="3" fillId="5" borderId="9" xfId="2" applyFont="1" applyFill="1" applyBorder="1" applyAlignment="1" applyProtection="1">
      <alignment horizontal="center" vertical="center"/>
      <protection hidden="1"/>
    </xf>
    <xf numFmtId="0" fontId="3" fillId="5" borderId="3" xfId="2" applyFont="1" applyFill="1" applyBorder="1" applyAlignment="1" applyProtection="1">
      <alignment horizontal="center" vertical="center"/>
      <protection hidden="1"/>
    </xf>
    <xf numFmtId="0" fontId="3" fillId="5" borderId="46" xfId="2" applyFont="1" applyFill="1" applyBorder="1" applyAlignment="1" applyProtection="1">
      <alignment horizontal="center" vertical="center"/>
      <protection hidden="1"/>
    </xf>
    <xf numFmtId="1" fontId="4" fillId="5" borderId="3" xfId="0" applyNumberFormat="1" applyFont="1" applyFill="1" applyBorder="1" applyAlignment="1" applyProtection="1">
      <alignment horizontal="center" vertical="center"/>
      <protection hidden="1"/>
    </xf>
    <xf numFmtId="0" fontId="7" fillId="5" borderId="1" xfId="2" applyFont="1" applyFill="1" applyBorder="1" applyAlignment="1" applyProtection="1">
      <alignment horizontal="center" vertical="center"/>
      <protection hidden="1"/>
    </xf>
    <xf numFmtId="0" fontId="7" fillId="5" borderId="3" xfId="2" applyFont="1" applyFill="1" applyBorder="1" applyAlignment="1" applyProtection="1">
      <alignment horizontal="center" vertical="center"/>
      <protection hidden="1"/>
    </xf>
    <xf numFmtId="0" fontId="0" fillId="5" borderId="1" xfId="0" applyFill="1" applyBorder="1" applyAlignment="1">
      <alignment horizontal="center" vertical="center" wrapText="1"/>
    </xf>
    <xf numFmtId="0" fontId="0" fillId="5" borderId="9" xfId="0" applyFill="1" applyBorder="1" applyAlignment="1">
      <alignment horizontal="center" vertical="center" wrapText="1"/>
    </xf>
    <xf numFmtId="0" fontId="0" fillId="5" borderId="3" xfId="0" applyFill="1" applyBorder="1" applyAlignment="1">
      <alignment horizontal="center" vertical="center" wrapText="1"/>
    </xf>
    <xf numFmtId="0" fontId="0" fillId="5" borderId="46" xfId="0" applyFill="1" applyBorder="1" applyAlignment="1">
      <alignment horizontal="center" vertical="center" wrapText="1"/>
    </xf>
    <xf numFmtId="0" fontId="0" fillId="0" borderId="0" xfId="0" applyAlignment="1">
      <alignment horizontal="center"/>
    </xf>
    <xf numFmtId="0" fontId="0" fillId="0" borderId="0" xfId="0" applyAlignment="1" applyProtection="1">
      <alignment horizontal="center" vertical="center" wrapText="1"/>
      <protection hidden="1"/>
    </xf>
    <xf numFmtId="0" fontId="32" fillId="0" borderId="0" xfId="0" applyFont="1" applyAlignment="1" applyProtection="1">
      <alignment horizontal="center" vertical="center" wrapText="1"/>
      <protection hidden="1"/>
    </xf>
    <xf numFmtId="0" fontId="27" fillId="0" borderId="44" xfId="0" applyFont="1" applyBorder="1" applyAlignment="1">
      <alignment horizontal="center" vertical="center" wrapText="1"/>
    </xf>
    <xf numFmtId="0" fontId="27" fillId="0" borderId="43" xfId="0" applyFont="1" applyBorder="1" applyAlignment="1">
      <alignment horizontal="center" vertical="center" wrapText="1"/>
    </xf>
  </cellXfs>
  <cellStyles count="4">
    <cellStyle name="Καλό" xfId="1" builtinId="26"/>
    <cellStyle name="Κανονικό" xfId="0" builtinId="0"/>
    <cellStyle name="Ουδέτερο" xfId="2" builtinId="28"/>
    <cellStyle name="Υπερ-σύνδεση" xfId="3" builtinId="8"/>
  </cellStyles>
  <dxfs count="0"/>
  <tableStyles count="0" defaultTableStyle="TableStyleMedium2" defaultPivotStyle="PivotStyleLight16"/>
  <colors>
    <mruColors>
      <color rgb="FF4D4D4D"/>
      <color rgb="FFC61C34"/>
      <color rgb="FFDD4109"/>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Drop" dropLines="10" dropStyle="combo" dx="26" fmlaLink="$J$1" fmlaRange="$G$8:$G$16" sel="7" val="0"/>
</file>

<file path=xl/ctrlProps/ctrlProp2.xml><?xml version="1.0" encoding="utf-8"?>
<formControlPr xmlns="http://schemas.microsoft.com/office/spreadsheetml/2009/9/main" objectType="Drop" dropLines="10" dropStyle="combo" dx="26" fmlaLink="$J$24" fmlaRange="$G$31:$G$39" sel="7" val="0"/>
</file>

<file path=xl/ctrlProps/ctrlProp3.xml><?xml version="1.0" encoding="utf-8"?>
<formControlPr xmlns="http://schemas.microsoft.com/office/spreadsheetml/2009/9/main" objectType="Drop" dropLines="10" dropStyle="combo" dx="26" fmlaLink="$J$1" fmlaRange="$G$8:$G$16" sel="5" val="0"/>
</file>

<file path=xl/ctrlProps/ctrlProp4.xml><?xml version="1.0" encoding="utf-8"?>
<formControlPr xmlns="http://schemas.microsoft.com/office/spreadsheetml/2009/9/main" objectType="Drop" dropLines="10" dropStyle="combo" dx="26" fmlaLink="$J$1" fmlaRange="$G$8:$G$16" sel="7" val="0"/>
</file>

<file path=xl/ctrlProps/ctrlProp5.xml><?xml version="1.0" encoding="utf-8"?>
<formControlPr xmlns="http://schemas.microsoft.com/office/spreadsheetml/2009/9/main" objectType="Drop" dropLines="10" dropStyle="combo" dx="26" fmlaLink="$J$1" fmlaRange="$G$8:$G$16" sel="7" val="0"/>
</file>

<file path=xl/ctrlProps/ctrlProp6.xml><?xml version="1.0" encoding="utf-8"?>
<formControlPr xmlns="http://schemas.microsoft.com/office/spreadsheetml/2009/9/main" objectType="Drop" dropLines="10" dropStyle="combo" dx="26" fmlaLink="$J$26" fmlaRange="$G$33:$G$39" sel="6" val="0"/>
</file>

<file path=xl/ctrlProps/ctrlProp7.xml><?xml version="1.0" encoding="utf-8"?>
<formControlPr xmlns="http://schemas.microsoft.com/office/spreadsheetml/2009/9/main" objectType="Drop" dropLines="10" dropStyle="combo" dx="26" fmlaLink="$K$1" fmlaRange="$H$8:$H$16" sel="4" val="0"/>
</file>

<file path=xl/ctrlProps/ctrlProp8.xml><?xml version="1.0" encoding="utf-8"?>
<formControlPr xmlns="http://schemas.microsoft.com/office/spreadsheetml/2009/9/main" objectType="Drop" dropLines="10" dropStyle="combo" dx="26" fmlaLink="$K$1" fmlaRange="$H$8:$H$16" sel="4" val="0"/>
</file>

<file path=xl/ctrlProps/ctrlProp9.xml><?xml version="1.0" encoding="utf-8"?>
<formControlPr xmlns="http://schemas.microsoft.com/office/spreadsheetml/2009/9/main" objectType="Drop" dropLines="10" dropStyle="combo" dx="26" fmlaLink="$L$1" fmlaRange="$I$8:$I$16" sel="2" val="0"/>
</file>

<file path=xl/drawings/_rels/drawing1.xml.rels><?xml version="1.0" encoding="UTF-8" standalone="yes"?>
<Relationships xmlns="http://schemas.openxmlformats.org/package/2006/relationships"><Relationship Id="rId1" Type="http://schemas.openxmlformats.org/officeDocument/2006/relationships/image" Target="../media/image2.tiff"/></Relationships>
</file>

<file path=xl/drawings/_rels/drawing2.xml.rels><?xml version="1.0" encoding="UTF-8" standalone="yes"?>
<Relationships xmlns="http://schemas.openxmlformats.org/package/2006/relationships"><Relationship Id="rId1" Type="http://schemas.openxmlformats.org/officeDocument/2006/relationships/image" Target="../media/image2.tiff"/></Relationships>
</file>

<file path=xl/drawings/_rels/drawing3.xml.rels><?xml version="1.0" encoding="UTF-8" standalone="yes"?>
<Relationships xmlns="http://schemas.openxmlformats.org/package/2006/relationships"><Relationship Id="rId1" Type="http://schemas.openxmlformats.org/officeDocument/2006/relationships/image" Target="../media/image3.tiff"/></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1452671</xdr:colOff>
      <xdr:row>0</xdr:row>
      <xdr:rowOff>81057</xdr:rowOff>
    </xdr:from>
    <xdr:to>
      <xdr:col>4</xdr:col>
      <xdr:colOff>1630470</xdr:colOff>
      <xdr:row>6</xdr:row>
      <xdr:rowOff>117073</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83836" y="81057"/>
          <a:ext cx="2821608" cy="1944329"/>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40694" cy="433452"/>
    <xdr:sp macro="" textlink="">
      <xdr:nvSpPr>
        <xdr:cNvPr id="5" name="Прямоугольник 4">
          <a:extLst>
            <a:ext uri="{FF2B5EF4-FFF2-40B4-BE49-F238E27FC236}">
              <a16:creationId xmlns:a16="http://schemas.microsoft.com/office/drawing/2014/main" id="{00000000-0008-0000-0000-000005000000}"/>
            </a:ext>
          </a:extLst>
        </xdr:cNvPr>
        <xdr:cNvSpPr/>
      </xdr:nvSpPr>
      <xdr:spPr>
        <a:xfrm>
          <a:off x="0" y="1226637"/>
          <a:ext cx="3940694"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h=250-600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2</xdr:col>
      <xdr:colOff>1406289</xdr:colOff>
      <xdr:row>26</xdr:row>
      <xdr:rowOff>81057</xdr:rowOff>
    </xdr:from>
    <xdr:ext cx="2889622" cy="1933545"/>
    <xdr:pic>
      <xdr:nvPicPr>
        <xdr:cNvPr id="6" name="Рисунок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937454" y="8582327"/>
          <a:ext cx="2889622" cy="1933545"/>
        </a:xfrm>
        <a:prstGeom prst="rect">
          <a:avLst/>
        </a:prstGeom>
        <a:solidFill>
          <a:srgbClr val="FF0000"/>
        </a:solidFill>
        <a:effectLst>
          <a:glow rad="127000">
            <a:srgbClr val="C61C34">
              <a:alpha val="60000"/>
            </a:srgbClr>
          </a:glow>
        </a:effectLst>
      </xdr:spPr>
    </xdr:pic>
    <xdr:clientData/>
  </xdr:oneCellAnchor>
  <xdr:oneCellAnchor>
    <xdr:from>
      <xdr:col>0</xdr:col>
      <xdr:colOff>175138</xdr:colOff>
      <xdr:row>30</xdr:row>
      <xdr:rowOff>21350</xdr:rowOff>
    </xdr:from>
    <xdr:ext cx="3661643" cy="399405"/>
    <xdr:sp macro="" textlink="">
      <xdr:nvSpPr>
        <xdr:cNvPr id="8" name="Прямоугольник 7">
          <a:extLst>
            <a:ext uri="{FF2B5EF4-FFF2-40B4-BE49-F238E27FC236}">
              <a16:creationId xmlns:a16="http://schemas.microsoft.com/office/drawing/2014/main" id="{00000000-0008-0000-0000-000008000000}"/>
            </a:ext>
          </a:extLst>
        </xdr:cNvPr>
        <xdr:cNvSpPr/>
      </xdr:nvSpPr>
      <xdr:spPr>
        <a:xfrm>
          <a:off x="175138" y="9662307"/>
          <a:ext cx="3661643" cy="399405"/>
        </a:xfrm>
        <a:prstGeom prst="rect">
          <a:avLst/>
        </a:prstGeom>
        <a:noFill/>
      </xdr:spPr>
      <xdr:txBody>
        <a:bodyPr wrap="none" lIns="91440" tIns="45720" rIns="91440" bIns="45720">
          <a:spAutoFit/>
        </a:bodyPr>
        <a:lstStyle/>
        <a:p>
          <a:pPr algn="ctr"/>
          <a:r>
            <a:rPr lang="en-US" altLang="zh-CN"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ea typeface="+mn-ea"/>
              <a:cs typeface="+mn-cs"/>
            </a:rPr>
            <a:t>Height of the door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h=250-600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47625</xdr:colOff>
          <xdr:row>11</xdr:row>
          <xdr:rowOff>76200</xdr:rowOff>
        </xdr:from>
        <xdr:to>
          <xdr:col>1</xdr:col>
          <xdr:colOff>2152650</xdr:colOff>
          <xdr:row>12</xdr:row>
          <xdr:rowOff>295275</xdr:rowOff>
        </xdr:to>
        <xdr:sp macro="" textlink="">
          <xdr:nvSpPr>
            <xdr:cNvPr id="7169" name="Drop Down 1" hidden="1">
              <a:extLst>
                <a:ext uri="{63B3BB69-23CF-44E3-9099-C40C66FF867C}">
                  <a14:compatExt spid="_x0000_s7169"/>
                </a:ext>
                <a:ext uri="{FF2B5EF4-FFF2-40B4-BE49-F238E27FC236}">
                  <a16:creationId xmlns:a16="http://schemas.microsoft.com/office/drawing/2014/main" id="{00000000-0008-0000-0000-000001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7170" name="Object 2" hidden="1">
              <a:extLst>
                <a:ext uri="{63B3BB69-23CF-44E3-9099-C40C66FF867C}">
                  <a14:compatExt spid="_x0000_s7170"/>
                </a:ext>
                <a:ext uri="{FF2B5EF4-FFF2-40B4-BE49-F238E27FC236}">
                  <a16:creationId xmlns:a16="http://schemas.microsoft.com/office/drawing/2014/main" id="{00000000-0008-0000-00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26</xdr:row>
          <xdr:rowOff>161925</xdr:rowOff>
        </xdr:from>
        <xdr:to>
          <xdr:col>1</xdr:col>
          <xdr:colOff>1638300</xdr:colOff>
          <xdr:row>28</xdr:row>
          <xdr:rowOff>9525</xdr:rowOff>
        </xdr:to>
        <xdr:sp macro="" textlink="">
          <xdr:nvSpPr>
            <xdr:cNvPr id="7171" name="Object 3" hidden="1">
              <a:extLst>
                <a:ext uri="{63B3BB69-23CF-44E3-9099-C40C66FF867C}">
                  <a14:compatExt spid="_x0000_s7171"/>
                </a:ext>
                <a:ext uri="{FF2B5EF4-FFF2-40B4-BE49-F238E27FC236}">
                  <a16:creationId xmlns:a16="http://schemas.microsoft.com/office/drawing/2014/main" id="{00000000-0008-0000-00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95250</xdr:colOff>
          <xdr:row>37</xdr:row>
          <xdr:rowOff>95250</xdr:rowOff>
        </xdr:from>
        <xdr:to>
          <xdr:col>1</xdr:col>
          <xdr:colOff>2152650</xdr:colOff>
          <xdr:row>38</xdr:row>
          <xdr:rowOff>219075</xdr:rowOff>
        </xdr:to>
        <xdr:sp macro="" textlink="">
          <xdr:nvSpPr>
            <xdr:cNvPr id="7172" name="Drop Down 4" hidden="1">
              <a:extLst>
                <a:ext uri="{63B3BB69-23CF-44E3-9099-C40C66FF867C}">
                  <a14:compatExt spid="_x0000_s7172"/>
                </a:ext>
                <a:ext uri="{FF2B5EF4-FFF2-40B4-BE49-F238E27FC236}">
                  <a16:creationId xmlns:a16="http://schemas.microsoft.com/office/drawing/2014/main" id="{00000000-0008-0000-0000-0000041C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xdr:col>
      <xdr:colOff>1326777</xdr:colOff>
      <xdr:row>0</xdr:row>
      <xdr:rowOff>81057</xdr:rowOff>
    </xdr:from>
    <xdr:to>
      <xdr:col>4</xdr:col>
      <xdr:colOff>1504576</xdr:colOff>
      <xdr:row>6</xdr:row>
      <xdr:rowOff>117073</xdr:rowOff>
    </xdr:to>
    <xdr:pic>
      <xdr:nvPicPr>
        <xdr:cNvPr id="2" name="Рисунок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92071" y="81057"/>
          <a:ext cx="2755152" cy="1918604"/>
        </a:xfrm>
        <a:prstGeom prst="rect">
          <a:avLst/>
        </a:prstGeom>
        <a:solidFill>
          <a:srgbClr val="FF0000"/>
        </a:solidFill>
        <a:effectLst>
          <a:glow rad="127000">
            <a:srgbClr val="C61C34">
              <a:alpha val="60000"/>
            </a:srgbClr>
          </a:glow>
        </a:effectLst>
      </xdr:spPr>
    </xdr:pic>
    <xdr:clientData/>
  </xdr:twoCellAnchor>
  <xdr:oneCellAnchor>
    <xdr:from>
      <xdr:col>0</xdr:col>
      <xdr:colOff>0</xdr:colOff>
      <xdr:row>3</xdr:row>
      <xdr:rowOff>83637</xdr:rowOff>
    </xdr:from>
    <xdr:ext cx="3977627" cy="433452"/>
    <xdr:sp macro="" textlink="">
      <xdr:nvSpPr>
        <xdr:cNvPr id="13" name="Прямоугольник 12">
          <a:extLst>
            <a:ext uri="{FF2B5EF4-FFF2-40B4-BE49-F238E27FC236}">
              <a16:creationId xmlns:a16="http://schemas.microsoft.com/office/drawing/2014/main" id="{00000000-0008-0000-0100-00000D000000}"/>
            </a:ext>
          </a:extLst>
        </xdr:cNvPr>
        <xdr:cNvSpPr/>
      </xdr:nvSpPr>
      <xdr:spPr>
        <a:xfrm>
          <a:off x="0" y="1226637"/>
          <a:ext cx="3977627" cy="433452"/>
        </a:xfrm>
        <a:prstGeom prst="rect">
          <a:avLst/>
        </a:prstGeom>
        <a:noFill/>
      </xdr:spPr>
      <xdr:txBody>
        <a:bodyPr wrap="none" lIns="91440" tIns="45720" rIns="91440" bIns="45720">
          <a:spAutoFit/>
        </a:bodyPr>
        <a:lstStyle/>
        <a:p>
          <a:pPr algn="ctr"/>
          <a:r>
            <a:rPr lang="en-US" altLang="zh-CN"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5</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38100</xdr:colOff>
          <xdr:row>11</xdr:row>
          <xdr:rowOff>95250</xdr:rowOff>
        </xdr:from>
        <xdr:to>
          <xdr:col>1</xdr:col>
          <xdr:colOff>2181225</xdr:colOff>
          <xdr:row>12</xdr:row>
          <xdr:rowOff>266700</xdr:rowOff>
        </xdr:to>
        <xdr:sp macro="" textlink="">
          <xdr:nvSpPr>
            <xdr:cNvPr id="1027" name="Drop Down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1030" name="Object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oneCellAnchor>
    <xdr:from>
      <xdr:col>2</xdr:col>
      <xdr:colOff>1214717</xdr:colOff>
      <xdr:row>0</xdr:row>
      <xdr:rowOff>83362</xdr:rowOff>
    </xdr:from>
    <xdr:ext cx="2889623" cy="1928934"/>
    <xdr:pic>
      <xdr:nvPicPr>
        <xdr:cNvPr id="5" name="Рисунок 4">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680011" y="83362"/>
          <a:ext cx="2889623" cy="1928934"/>
        </a:xfrm>
        <a:prstGeom prst="rect">
          <a:avLst/>
        </a:prstGeom>
        <a:solidFill>
          <a:srgbClr val="FF0000"/>
        </a:solidFill>
        <a:effectLst>
          <a:glow rad="127000">
            <a:srgbClr val="C61C34">
              <a:alpha val="60000"/>
            </a:srgbClr>
          </a:glow>
        </a:effectLst>
      </xdr:spPr>
    </xdr:pic>
    <xdr:clientData/>
  </xdr:oneCellAnchor>
  <xdr:oneCellAnchor>
    <xdr:from>
      <xdr:col>0</xdr:col>
      <xdr:colOff>-93954</xdr:colOff>
      <xdr:row>3</xdr:row>
      <xdr:rowOff>114492</xdr:rowOff>
    </xdr:from>
    <xdr:ext cx="3977627" cy="433452"/>
    <xdr:sp macro="" textlink="">
      <xdr:nvSpPr>
        <xdr:cNvPr id="12" name="Прямоугольник 11">
          <a:extLst>
            <a:ext uri="{FF2B5EF4-FFF2-40B4-BE49-F238E27FC236}">
              <a16:creationId xmlns:a16="http://schemas.microsoft.com/office/drawing/2014/main" id="{00000000-0008-0000-0200-00000C000000}"/>
            </a:ext>
          </a:extLst>
        </xdr:cNvPr>
        <xdr:cNvSpPr/>
      </xdr:nvSpPr>
      <xdr:spPr>
        <a:xfrm>
          <a:off x="-93954" y="1270939"/>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h=250-700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57150</xdr:rowOff>
        </xdr:from>
        <xdr:to>
          <xdr:col>1</xdr:col>
          <xdr:colOff>2190750</xdr:colOff>
          <xdr:row>12</xdr:row>
          <xdr:rowOff>276225</xdr:rowOff>
        </xdr:to>
        <xdr:sp macro="" textlink="">
          <xdr:nvSpPr>
            <xdr:cNvPr id="2051" name="Drop Down 3" hidden="1">
              <a:extLst>
                <a:ext uri="{63B3BB69-23CF-44E3-9099-C40C66FF867C}">
                  <a14:compatExt spid="_x0000_s2051"/>
                </a:ext>
                <a:ext uri="{FF2B5EF4-FFF2-40B4-BE49-F238E27FC236}">
                  <a16:creationId xmlns:a16="http://schemas.microsoft.com/office/drawing/2014/main" id="{00000000-0008-0000-0200-00000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2053" name="Object 5" hidden="1">
              <a:extLst>
                <a:ext uri="{63B3BB69-23CF-44E3-9099-C40C66FF867C}">
                  <a14:compatExt spid="_x0000_s2053"/>
                </a:ext>
                <a:ext uri="{FF2B5EF4-FFF2-40B4-BE49-F238E27FC236}">
                  <a16:creationId xmlns:a16="http://schemas.microsoft.com/office/drawing/2014/main" id="{00000000-0008-0000-02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2</xdr:col>
      <xdr:colOff>1592793</xdr:colOff>
      <xdr:row>0</xdr:row>
      <xdr:rowOff>83362</xdr:rowOff>
    </xdr:from>
    <xdr:ext cx="2678852" cy="1928934"/>
    <xdr:pic>
      <xdr:nvPicPr>
        <xdr:cNvPr id="2" name="Рисунок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77617" y="8336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58449</xdr:colOff>
      <xdr:row>3</xdr:row>
      <xdr:rowOff>18868</xdr:rowOff>
    </xdr:from>
    <xdr:ext cx="3977627" cy="433452"/>
    <xdr:sp macro="" textlink="">
      <xdr:nvSpPr>
        <xdr:cNvPr id="9" name="Прямоугольник 8">
          <a:extLst>
            <a:ext uri="{FF2B5EF4-FFF2-40B4-BE49-F238E27FC236}">
              <a16:creationId xmlns:a16="http://schemas.microsoft.com/office/drawing/2014/main" id="{00000000-0008-0000-0300-000009000000}"/>
            </a:ext>
          </a:extLst>
        </xdr:cNvPr>
        <xdr:cNvSpPr/>
      </xdr:nvSpPr>
      <xdr:spPr>
        <a:xfrm>
          <a:off x="58449" y="1161868"/>
          <a:ext cx="3977627"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168835</xdr:colOff>
      <xdr:row>3</xdr:row>
      <xdr:rowOff>353546</xdr:rowOff>
    </xdr:from>
    <xdr:ext cx="3914588" cy="580159"/>
    <xdr:sp macro="" textlink="">
      <xdr:nvSpPr>
        <xdr:cNvPr id="11" name="Прямоугольник 10">
          <a:extLst>
            <a:ext uri="{FF2B5EF4-FFF2-40B4-BE49-F238E27FC236}">
              <a16:creationId xmlns:a16="http://schemas.microsoft.com/office/drawing/2014/main" id="{00000000-0008-0000-0300-00000B000000}"/>
            </a:ext>
          </a:extLst>
        </xdr:cNvPr>
        <xdr:cNvSpPr/>
      </xdr:nvSpPr>
      <xdr:spPr>
        <a:xfrm>
          <a:off x="168835" y="1496546"/>
          <a:ext cx="3914588" cy="580159"/>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If the door width is no more than 600mm, one mechanism will be enough</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oneCellAnchor>
    <xdr:from>
      <xdr:col>2</xdr:col>
      <xdr:colOff>1600250</xdr:colOff>
      <xdr:row>25</xdr:row>
      <xdr:rowOff>83362</xdr:rowOff>
    </xdr:from>
    <xdr:ext cx="2678852" cy="1928934"/>
    <xdr:pic>
      <xdr:nvPicPr>
        <xdr:cNvPr id="13" name="Рисунок 12">
          <a:extLst>
            <a:ext uri="{FF2B5EF4-FFF2-40B4-BE49-F238E27FC236}">
              <a16:creationId xmlns:a16="http://schemas.microsoft.com/office/drawing/2014/main" id="{00000000-0008-0000-0300-00000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130090" y="6247942"/>
          <a:ext cx="2678852" cy="1928934"/>
        </a:xfrm>
        <a:prstGeom prst="rect">
          <a:avLst/>
        </a:prstGeom>
        <a:solidFill>
          <a:srgbClr val="FF0000"/>
        </a:solidFill>
        <a:effectLst>
          <a:glow rad="127000">
            <a:srgbClr val="C61C34">
              <a:alpha val="60000"/>
            </a:srgbClr>
          </a:glow>
        </a:effectLst>
      </xdr:spPr>
    </xdr:pic>
    <xdr:clientData/>
  </xdr:oneCellAnchor>
  <xdr:oneCellAnchor>
    <xdr:from>
      <xdr:col>0</xdr:col>
      <xdr:colOff>166029</xdr:colOff>
      <xdr:row>28</xdr:row>
      <xdr:rowOff>99550</xdr:rowOff>
    </xdr:from>
    <xdr:ext cx="3977628" cy="433452"/>
    <xdr:sp macro="" textlink="">
      <xdr:nvSpPr>
        <xdr:cNvPr id="14" name="Прямоугольник 13">
          <a:extLst>
            <a:ext uri="{FF2B5EF4-FFF2-40B4-BE49-F238E27FC236}">
              <a16:creationId xmlns:a16="http://schemas.microsoft.com/office/drawing/2014/main" id="{00000000-0008-0000-0300-00000E000000}"/>
            </a:ext>
          </a:extLst>
        </xdr:cNvPr>
        <xdr:cNvSpPr/>
      </xdr:nvSpPr>
      <xdr:spPr>
        <a:xfrm>
          <a:off x="166029" y="7459574"/>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h=240-600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oneCellAnchor>
    <xdr:from>
      <xdr:col>0</xdr:col>
      <xdr:colOff>231588</xdr:colOff>
      <xdr:row>29</xdr:row>
      <xdr:rowOff>147358</xdr:rowOff>
    </xdr:from>
    <xdr:ext cx="3746052" cy="436786"/>
    <xdr:sp macro="" textlink="">
      <xdr:nvSpPr>
        <xdr:cNvPr id="15" name="Прямоугольник 14">
          <a:extLst>
            <a:ext uri="{FF2B5EF4-FFF2-40B4-BE49-F238E27FC236}">
              <a16:creationId xmlns:a16="http://schemas.microsoft.com/office/drawing/2014/main" id="{00000000-0008-0000-0300-00000F000000}"/>
            </a:ext>
          </a:extLst>
        </xdr:cNvPr>
        <xdr:cNvSpPr/>
      </xdr:nvSpPr>
      <xdr:spPr>
        <a:xfrm>
          <a:off x="231588" y="7835938"/>
          <a:ext cx="3746052" cy="436786"/>
        </a:xfrm>
        <a:prstGeom prst="rect">
          <a:avLst/>
        </a:prstGeom>
        <a:noFill/>
      </xdr:spPr>
      <xdr:txBody>
        <a:bodyPr wrap="square" lIns="91440" tIns="45720" rIns="91440" bIns="45720">
          <a:spAutoFit/>
        </a:bodyPr>
        <a:lstStyle/>
        <a:p>
          <a:r>
            <a:rPr lang="en-US" altLang="zh-CN" sz="1100" b="0" baseline="0">
              <a:effectLst>
                <a:outerShdw blurRad="38100" dist="19050" dir="2700000" algn="tl" rotWithShape="0">
                  <a:schemeClr val="dk1">
                    <a:alpha val="40000"/>
                  </a:schemeClr>
                </a:outerShdw>
              </a:effectLst>
              <a:latin typeface="+mn-lt"/>
              <a:ea typeface="+mn-ea"/>
              <a:cs typeface="+mn-cs"/>
            </a:rPr>
            <a:t>If the door width is no more than 600mm, one mechanism will be enough</a:t>
          </a:r>
          <a:endParaRPr lang="zh-CN" altLang="zh-CN">
            <a:effectLst/>
          </a:endParaRPr>
        </a:p>
      </xdr:txBody>
    </xdr:sp>
    <xdr:clientData/>
  </xdr:oneCellAnchor>
  <mc:AlternateContent xmlns:mc="http://schemas.openxmlformats.org/markup-compatibility/2006">
    <mc:Choice xmlns:a14="http://schemas.microsoft.com/office/drawing/2010/main" Requires="a14">
      <xdr:twoCellAnchor editAs="absolute">
        <xdr:from>
          <xdr:col>1</xdr:col>
          <xdr:colOff>28575</xdr:colOff>
          <xdr:row>11</xdr:row>
          <xdr:rowOff>209550</xdr:rowOff>
        </xdr:from>
        <xdr:to>
          <xdr:col>1</xdr:col>
          <xdr:colOff>2190750</xdr:colOff>
          <xdr:row>12</xdr:row>
          <xdr:rowOff>371475</xdr:rowOff>
        </xdr:to>
        <xdr:sp macro="" textlink="">
          <xdr:nvSpPr>
            <xdr:cNvPr id="5121" name="Drop Down 1" hidden="1">
              <a:extLst>
                <a:ext uri="{63B3BB69-23CF-44E3-9099-C40C66FF867C}">
                  <a14:compatExt spid="_x0000_s5121"/>
                </a:ext>
                <a:ext uri="{FF2B5EF4-FFF2-40B4-BE49-F238E27FC236}">
                  <a16:creationId xmlns:a16="http://schemas.microsoft.com/office/drawing/2014/main" id="{00000000-0008-0000-0300-000001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152400</xdr:rowOff>
        </xdr:from>
        <xdr:to>
          <xdr:col>1</xdr:col>
          <xdr:colOff>1638300</xdr:colOff>
          <xdr:row>2</xdr:row>
          <xdr:rowOff>0</xdr:rowOff>
        </xdr:to>
        <xdr:sp macro="" textlink="">
          <xdr:nvSpPr>
            <xdr:cNvPr id="5124" name="Object 4" hidden="1">
              <a:extLst>
                <a:ext uri="{63B3BB69-23CF-44E3-9099-C40C66FF867C}">
                  <a14:compatExt spid="_x0000_s5124"/>
                </a:ext>
                <a:ext uri="{FF2B5EF4-FFF2-40B4-BE49-F238E27FC236}">
                  <a16:creationId xmlns:a16="http://schemas.microsoft.com/office/drawing/2014/main" id="{00000000-0008-0000-03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25</xdr:row>
          <xdr:rowOff>152400</xdr:rowOff>
        </xdr:from>
        <xdr:to>
          <xdr:col>1</xdr:col>
          <xdr:colOff>1638300</xdr:colOff>
          <xdr:row>27</xdr:row>
          <xdr:rowOff>0</xdr:rowOff>
        </xdr:to>
        <xdr:sp macro="" textlink="">
          <xdr:nvSpPr>
            <xdr:cNvPr id="5126" name="Object 6" hidden="1">
              <a:extLst>
                <a:ext uri="{63B3BB69-23CF-44E3-9099-C40C66FF867C}">
                  <a14:compatExt spid="_x0000_s5126"/>
                </a:ext>
                <a:ext uri="{FF2B5EF4-FFF2-40B4-BE49-F238E27FC236}">
                  <a16:creationId xmlns:a16="http://schemas.microsoft.com/office/drawing/2014/main" id="{00000000-0008-0000-03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xdr:col>
          <xdr:colOff>38100</xdr:colOff>
          <xdr:row>36</xdr:row>
          <xdr:rowOff>180975</xdr:rowOff>
        </xdr:from>
        <xdr:to>
          <xdr:col>1</xdr:col>
          <xdr:colOff>2209800</xdr:colOff>
          <xdr:row>37</xdr:row>
          <xdr:rowOff>133350</xdr:rowOff>
        </xdr:to>
        <xdr:sp macro="" textlink="">
          <xdr:nvSpPr>
            <xdr:cNvPr id="5128" name="Drop Down 8" hidden="1">
              <a:extLst>
                <a:ext uri="{63B3BB69-23CF-44E3-9099-C40C66FF867C}">
                  <a14:compatExt spid="_x0000_s5128"/>
                </a:ext>
                <a:ext uri="{FF2B5EF4-FFF2-40B4-BE49-F238E27FC236}">
                  <a16:creationId xmlns:a16="http://schemas.microsoft.com/office/drawing/2014/main" id="{00000000-0008-0000-0300-0000081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oneCellAnchor>
    <xdr:from>
      <xdr:col>2</xdr:col>
      <xdr:colOff>1305593</xdr:colOff>
      <xdr:row>0</xdr:row>
      <xdr:rowOff>91000</xdr:rowOff>
    </xdr:from>
    <xdr:ext cx="2760681" cy="1909494"/>
    <xdr:pic>
      <xdr:nvPicPr>
        <xdr:cNvPr id="2" name="Рисунок 2">
          <a:extLst>
            <a:ext uri="{FF2B5EF4-FFF2-40B4-BE49-F238E27FC236}">
              <a16:creationId xmlns:a16="http://schemas.microsoft.com/office/drawing/2014/main" id="{9B77C2EE-0999-4B8E-A34F-FF3721D25C5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1829468" y="91000"/>
          <a:ext cx="2760681" cy="1909494"/>
        </a:xfrm>
        <a:prstGeom prst="rect">
          <a:avLst/>
        </a:prstGeom>
        <a:solidFill>
          <a:srgbClr val="FF0000"/>
        </a:solidFill>
        <a:effectLst>
          <a:glow rad="127000">
            <a:srgbClr val="C61C34">
              <a:alpha val="60000"/>
            </a:srgbClr>
          </a:glow>
        </a:effectLst>
      </xdr:spPr>
    </xdr:pic>
    <xdr:clientData/>
  </xdr:oneCellAnchor>
  <xdr:oneCellAnchor>
    <xdr:from>
      <xdr:col>0</xdr:col>
      <xdr:colOff>264737</xdr:colOff>
      <xdr:row>3</xdr:row>
      <xdr:rowOff>45537</xdr:rowOff>
    </xdr:from>
    <xdr:ext cx="3231719" cy="399405"/>
    <xdr:sp macro="" textlink="">
      <xdr:nvSpPr>
        <xdr:cNvPr id="3" name="Прямоугольник 4">
          <a:extLst>
            <a:ext uri="{FF2B5EF4-FFF2-40B4-BE49-F238E27FC236}">
              <a16:creationId xmlns:a16="http://schemas.microsoft.com/office/drawing/2014/main" id="{3E3A4036-C862-4A4F-9BF0-FBCBB82ACD29}"/>
            </a:ext>
          </a:extLst>
        </xdr:cNvPr>
        <xdr:cNvSpPr/>
      </xdr:nvSpPr>
      <xdr:spPr>
        <a:xfrm>
          <a:off x="264737" y="617037"/>
          <a:ext cx="3231719" cy="399405"/>
        </a:xfrm>
        <a:prstGeom prst="rect">
          <a:avLst/>
        </a:prstGeom>
        <a:noFill/>
      </xdr:spPr>
      <xdr:txBody>
        <a:bodyPr wrap="none" lIns="91440" tIns="45720" rIns="91440" bIns="45720">
          <a:spAutoFit/>
        </a:bodyPr>
        <a:lstStyle/>
        <a:p>
          <a:pPr algn="ctr"/>
          <a:r>
            <a:rPr lang="el-GR"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Ύψος πόρτας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absoluteAnchor>
        <xdr:pos x="383899" y="3479110"/>
        <xdr:ext cx="2076036" cy="504825"/>
        <xdr:sp macro="" textlink="">
          <xdr:nvSpPr>
            <xdr:cNvPr id="13313" name="Drop Down 1" hidden="1">
              <a:extLst>
                <a:ext uri="{63B3BB69-23CF-44E3-9099-C40C66FF867C}">
                  <a14:compatExt spid="_x0000_s13313"/>
                </a:ext>
                <a:ext uri="{FF2B5EF4-FFF2-40B4-BE49-F238E27FC236}">
                  <a16:creationId xmlns:a16="http://schemas.microsoft.com/office/drawing/2014/main" id="{D596F3F0-E3DF-4C98-8B7A-47915CAE084D}"/>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absoluteAnchor>
    </mc:Choice>
    <mc:Fallback/>
  </mc:AlternateContent>
  <mc:AlternateContent xmlns:mc="http://schemas.openxmlformats.org/markup-compatibility/2006">
    <mc:Choice xmlns:a14="http://schemas.microsoft.com/office/drawing/2010/main" Requires="a14">
      <xdr:oneCellAnchor>
        <xdr:from>
          <xdr:col>0</xdr:col>
          <xdr:colOff>152400</xdr:colOff>
          <xdr:row>0</xdr:row>
          <xdr:rowOff>161925</xdr:rowOff>
        </xdr:from>
        <xdr:ext cx="1784074" cy="619125"/>
        <xdr:sp macro="" textlink="">
          <xdr:nvSpPr>
            <xdr:cNvPr id="13314" name="Object 2" hidden="1">
              <a:extLst>
                <a:ext uri="{63B3BB69-23CF-44E3-9099-C40C66FF867C}">
                  <a14:compatExt spid="_x0000_s13314"/>
                </a:ext>
                <a:ext uri="{FF2B5EF4-FFF2-40B4-BE49-F238E27FC236}">
                  <a16:creationId xmlns:a16="http://schemas.microsoft.com/office/drawing/2014/main" id="{CFC0D2E4-9D05-4D9C-93AD-439ACD67C87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oneCellAnchor>
    <xdr:from>
      <xdr:col>0</xdr:col>
      <xdr:colOff>83820</xdr:colOff>
      <xdr:row>4</xdr:row>
      <xdr:rowOff>15240</xdr:rowOff>
    </xdr:from>
    <xdr:ext cx="3914588" cy="336246"/>
    <xdr:sp macro="" textlink="">
      <xdr:nvSpPr>
        <xdr:cNvPr id="4" name="Прямоугольник 10">
          <a:extLst>
            <a:ext uri="{FF2B5EF4-FFF2-40B4-BE49-F238E27FC236}">
              <a16:creationId xmlns:a16="http://schemas.microsoft.com/office/drawing/2014/main" id="{855C6A61-B772-4A7D-8996-6871AAE433F7}"/>
            </a:ext>
          </a:extLst>
        </xdr:cNvPr>
        <xdr:cNvSpPr/>
      </xdr:nvSpPr>
      <xdr:spPr>
        <a:xfrm>
          <a:off x="83820" y="777240"/>
          <a:ext cx="3914588" cy="336246"/>
        </a:xfrm>
        <a:prstGeom prst="rect">
          <a:avLst/>
        </a:prstGeom>
        <a:noFill/>
      </xdr:spPr>
      <xdr:txBody>
        <a:bodyPr wrap="square" lIns="91440" tIns="45720" rIns="91440" bIns="45720">
          <a:spAutoFit/>
        </a:bodyPr>
        <a:lstStyle/>
        <a:p>
          <a:pPr algn="l"/>
          <a:r>
            <a:rPr lang="el-GR"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Η "πόρτα" </a:t>
          </a:r>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6.xml><?xml version="1.0" encoding="utf-8"?>
<xdr:wsDr xmlns:xdr="http://schemas.openxmlformats.org/drawingml/2006/spreadsheetDrawing" xmlns:a="http://schemas.openxmlformats.org/drawingml/2006/main">
  <xdr:twoCellAnchor editAs="oneCell">
    <xdr:from>
      <xdr:col>2</xdr:col>
      <xdr:colOff>1305593</xdr:colOff>
      <xdr:row>0</xdr:row>
      <xdr:rowOff>91000</xdr:rowOff>
    </xdr:from>
    <xdr:to>
      <xdr:col>4</xdr:col>
      <xdr:colOff>1490383</xdr:colOff>
      <xdr:row>6</xdr:row>
      <xdr:rowOff>112059</xdr:rowOff>
    </xdr:to>
    <xdr:pic>
      <xdr:nvPicPr>
        <xdr:cNvPr id="3" name="Рисунок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885" r="26104" b="21570"/>
        <a:stretch/>
      </xdr:blipFill>
      <xdr:spPr>
        <a:xfrm>
          <a:off x="3770887" y="91000"/>
          <a:ext cx="2762143" cy="1903647"/>
        </a:xfrm>
        <a:prstGeom prst="rect">
          <a:avLst/>
        </a:prstGeom>
        <a:solidFill>
          <a:srgbClr val="FF0000"/>
        </a:solidFill>
        <a:effectLst>
          <a:glow rad="127000">
            <a:srgbClr val="C61C34">
              <a:alpha val="60000"/>
            </a:srgbClr>
          </a:glow>
        </a:effectLst>
      </xdr:spPr>
    </xdr:pic>
    <xdr:clientData/>
  </xdr:twoCellAnchor>
  <xdr:oneCellAnchor>
    <xdr:from>
      <xdr:col>0</xdr:col>
      <xdr:colOff>19154</xdr:colOff>
      <xdr:row>3</xdr:row>
      <xdr:rowOff>45537</xdr:rowOff>
    </xdr:from>
    <xdr:ext cx="3722879" cy="399405"/>
    <xdr:sp macro="" textlink="">
      <xdr:nvSpPr>
        <xdr:cNvPr id="5" name="Прямоугольник 4">
          <a:extLst>
            <a:ext uri="{FF2B5EF4-FFF2-40B4-BE49-F238E27FC236}">
              <a16:creationId xmlns:a16="http://schemas.microsoft.com/office/drawing/2014/main" id="{00000000-0008-0000-0400-000005000000}"/>
            </a:ext>
          </a:extLst>
        </xdr:cNvPr>
        <xdr:cNvSpPr/>
      </xdr:nvSpPr>
      <xdr:spPr>
        <a:xfrm>
          <a:off x="19154" y="1188537"/>
          <a:ext cx="3722879" cy="399405"/>
        </a:xfrm>
        <a:prstGeom prst="rect">
          <a:avLst/>
        </a:prstGeom>
        <a:noFill/>
      </xdr:spPr>
      <xdr:txBody>
        <a:bodyPr wrap="none" lIns="91440" tIns="45720" rIns="91440" bIns="45720">
          <a:spAutoFit/>
        </a:bodyPr>
        <a:lstStyle/>
        <a:p>
          <a:pPr algn="ct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 </a:t>
          </a:r>
          <a:r>
            <a:rPr lang="en-US"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h=480-1040</a:t>
          </a:r>
          <a:r>
            <a:rPr lang="ru-RU" sz="18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mc:AlternateContent xmlns:mc="http://schemas.openxmlformats.org/markup-compatibility/2006">
    <mc:Choice xmlns:a14="http://schemas.microsoft.com/office/drawing/2010/main" Requires="a14">
      <xdr:twoCellAnchor editAs="absolute">
        <xdr:from>
          <xdr:col>1</xdr:col>
          <xdr:colOff>85725</xdr:colOff>
          <xdr:row>11</xdr:row>
          <xdr:rowOff>66675</xdr:rowOff>
        </xdr:from>
        <xdr:to>
          <xdr:col>2</xdr:col>
          <xdr:colOff>0</xdr:colOff>
          <xdr:row>13</xdr:row>
          <xdr:rowOff>0</xdr:rowOff>
        </xdr:to>
        <xdr:sp macro="" textlink="">
          <xdr:nvSpPr>
            <xdr:cNvPr id="6145" name="Drop Down 1" hidden="1">
              <a:extLst>
                <a:ext uri="{63B3BB69-23CF-44E3-9099-C40C66FF867C}">
                  <a14:compatExt spid="_x0000_s6145"/>
                </a:ext>
                <a:ext uri="{FF2B5EF4-FFF2-40B4-BE49-F238E27FC236}">
                  <a16:creationId xmlns:a16="http://schemas.microsoft.com/office/drawing/2014/main" id="{00000000-0008-0000-0400-0000011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152400</xdr:colOff>
          <xdr:row>0</xdr:row>
          <xdr:rowOff>161925</xdr:rowOff>
        </xdr:from>
        <xdr:to>
          <xdr:col>1</xdr:col>
          <xdr:colOff>1638300</xdr:colOff>
          <xdr:row>2</xdr:row>
          <xdr:rowOff>19050</xdr:rowOff>
        </xdr:to>
        <xdr:sp macro="" textlink="">
          <xdr:nvSpPr>
            <xdr:cNvPr id="6146" name="Object 2" hidden="1">
              <a:extLst>
                <a:ext uri="{63B3BB69-23CF-44E3-9099-C40C66FF867C}">
                  <a14:compatExt spid="_x0000_s6146"/>
                </a:ext>
                <a:ext uri="{FF2B5EF4-FFF2-40B4-BE49-F238E27FC236}">
                  <a16:creationId xmlns:a16="http://schemas.microsoft.com/office/drawing/2014/main" id="{00000000-0008-0000-04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83820</xdr:colOff>
      <xdr:row>4</xdr:row>
      <xdr:rowOff>15240</xdr:rowOff>
    </xdr:from>
    <xdr:ext cx="3914588" cy="336246"/>
    <xdr:sp macro="" textlink="">
      <xdr:nvSpPr>
        <xdr:cNvPr id="2" name="Прямоугольник 10">
          <a:extLst>
            <a:ext uri="{FF2B5EF4-FFF2-40B4-BE49-F238E27FC236}">
              <a16:creationId xmlns:a16="http://schemas.microsoft.com/office/drawing/2014/main" id="{00000000-0008-0000-0400-000002000000}"/>
            </a:ext>
          </a:extLst>
        </xdr:cNvPr>
        <xdr:cNvSpPr/>
      </xdr:nvSpPr>
      <xdr:spPr>
        <a:xfrm>
          <a:off x="83820" y="1539240"/>
          <a:ext cx="3914588" cy="336246"/>
        </a:xfrm>
        <a:prstGeom prst="rect">
          <a:avLst/>
        </a:prstGeom>
        <a:noFill/>
      </xdr:spPr>
      <xdr:txBody>
        <a:bodyPr wrap="square" lIns="91440" tIns="45720" rIns="91440" bIns="45720">
          <a:spAutoFit/>
        </a:bodyPr>
        <a:lstStyle/>
        <a:p>
          <a:pPr algn="l"/>
          <a:r>
            <a:rPr lang="en-US"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rPr>
            <a:t>The "door" in this page means double door</a:t>
          </a:r>
          <a:endParaRPr lang="ru-RU" sz="1100" b="0" cap="none" spc="0" baseline="0">
            <a:ln w="0"/>
            <a:solidFill>
              <a:schemeClr val="tx1"/>
            </a:solidFill>
            <a:effectLst>
              <a:outerShdw blurRad="38100" dist="19050" dir="2700000" algn="tl" rotWithShape="0">
                <a:schemeClr val="dk1">
                  <a:alpha val="40000"/>
                </a:schemeClr>
              </a:outerShdw>
            </a:effectLst>
            <a:latin typeface="Yu Gothic UI Light" panose="020B0300000000000000" pitchFamily="34" charset="-128"/>
            <a:ea typeface="Yu Gothic UI Light" panose="020B0300000000000000" pitchFamily="34" charset="-128"/>
          </a:endParaRPr>
        </a:p>
      </xdr:txBody>
    </xdr:sp>
    <xdr:clientData/>
  </xdr:one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133350</xdr:colOff>
          <xdr:row>0</xdr:row>
          <xdr:rowOff>95250</xdr:rowOff>
        </xdr:from>
        <xdr:to>
          <xdr:col>1</xdr:col>
          <xdr:colOff>1247775</xdr:colOff>
          <xdr:row>2</xdr:row>
          <xdr:rowOff>228600</xdr:rowOff>
        </xdr:to>
        <xdr:sp macro="" textlink="">
          <xdr:nvSpPr>
            <xdr:cNvPr id="12289" name="Object 1" hidden="1">
              <a:extLst>
                <a:ext uri="{63B3BB69-23CF-44E3-9099-C40C66FF867C}">
                  <a14:compatExt spid="_x0000_s12289"/>
                </a:ext>
                <a:ext uri="{FF2B5EF4-FFF2-40B4-BE49-F238E27FC236}">
                  <a16:creationId xmlns:a16="http://schemas.microsoft.com/office/drawing/2014/main" id="{00000000-0008-0000-05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0</xdr:col>
      <xdr:colOff>175523</xdr:colOff>
      <xdr:row>4</xdr:row>
      <xdr:rowOff>1</xdr:rowOff>
    </xdr:from>
    <xdr:ext cx="3977628" cy="433452"/>
    <xdr:sp macro="" textlink="">
      <xdr:nvSpPr>
        <xdr:cNvPr id="2" name="Прямоугольник 4">
          <a:extLst>
            <a:ext uri="{FF2B5EF4-FFF2-40B4-BE49-F238E27FC236}">
              <a16:creationId xmlns:a16="http://schemas.microsoft.com/office/drawing/2014/main" id="{00000000-0008-0000-0500-000002000000}"/>
            </a:ext>
          </a:extLst>
        </xdr:cNvPr>
        <xdr:cNvSpPr/>
      </xdr:nvSpPr>
      <xdr:spPr>
        <a:xfrm>
          <a:off x="175523" y="1005841"/>
          <a:ext cx="3977628" cy="433452"/>
        </a:xfrm>
        <a:prstGeom prst="rect">
          <a:avLst/>
        </a:prstGeom>
        <a:noFill/>
      </xdr:spPr>
      <xdr:txBody>
        <a:bodyPr wrap="none" lIns="91440" tIns="45720" rIns="91440" bIns="45720">
          <a:spAutoFit/>
        </a:bodyPr>
        <a:lstStyle/>
        <a:p>
          <a:pPr algn="ctr"/>
          <a:r>
            <a:rPr lang="en-US"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Height of the door h=300-580</a:t>
          </a:r>
          <a:r>
            <a:rPr lang="ru-RU" sz="2000" b="0" cap="none" spc="0" baseline="0">
              <a:ln w="0"/>
              <a:solidFill>
                <a:schemeClr val="bg2">
                  <a:lumMod val="50000"/>
                </a:schemeClr>
              </a:solidFill>
              <a:effectLst>
                <a:outerShdw blurRad="38100" dist="19050" dir="2700000" algn="tl" rotWithShape="0">
                  <a:schemeClr val="dk1">
                    <a:alpha val="40000"/>
                  </a:schemeClr>
                </a:outerShdw>
              </a:effectLst>
              <a:latin typeface="Segoe UI" panose="020B0502040204020203" pitchFamily="34" charset="0"/>
            </a:rPr>
            <a:t>мм</a:t>
          </a:r>
        </a:p>
      </xdr:txBody>
    </xdr:sp>
    <xdr:clientData/>
  </xdr:oneCellAnchor>
  <xdr:twoCellAnchor editAs="oneCell">
    <xdr:from>
      <xdr:col>5</xdr:col>
      <xdr:colOff>350520</xdr:colOff>
      <xdr:row>0</xdr:row>
      <xdr:rowOff>0</xdr:rowOff>
    </xdr:from>
    <xdr:to>
      <xdr:col>6</xdr:col>
      <xdr:colOff>1744784</xdr:colOff>
      <xdr:row>9</xdr:row>
      <xdr:rowOff>361433</xdr:rowOff>
    </xdr:to>
    <xdr:pic>
      <xdr:nvPicPr>
        <xdr:cNvPr id="3" name="Рисунок 1">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002780" y="0"/>
          <a:ext cx="3154484" cy="2754113"/>
        </a:xfrm>
        <a:prstGeom prst="rect">
          <a:avLst/>
        </a:prstGeom>
      </xdr:spPr>
    </xdr:pic>
    <xdr:clientData/>
  </xdr:twoCellAnchor>
  <mc:AlternateContent xmlns:mc="http://schemas.openxmlformats.org/markup-compatibility/2006">
    <mc:Choice xmlns:a14="http://schemas.microsoft.com/office/drawing/2010/main" Requires="a14">
      <xdr:twoCellAnchor editAs="absolute">
        <xdr:from>
          <xdr:col>1</xdr:col>
          <xdr:colOff>209550</xdr:colOff>
          <xdr:row>11</xdr:row>
          <xdr:rowOff>95250</xdr:rowOff>
        </xdr:from>
        <xdr:to>
          <xdr:col>1</xdr:col>
          <xdr:colOff>2390775</xdr:colOff>
          <xdr:row>12</xdr:row>
          <xdr:rowOff>152400</xdr:rowOff>
        </xdr:to>
        <xdr:sp macro="" textlink="">
          <xdr:nvSpPr>
            <xdr:cNvPr id="12290" name="Drop Down 2" hidden="1">
              <a:extLst>
                <a:ext uri="{63B3BB69-23CF-44E3-9099-C40C66FF867C}">
                  <a14:compatExt spid="_x0000_s12290"/>
                </a:ext>
                <a:ext uri="{FF2B5EF4-FFF2-40B4-BE49-F238E27FC236}">
                  <a16:creationId xmlns:a16="http://schemas.microsoft.com/office/drawing/2014/main" id="{00000000-0008-0000-0500-0000023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printerSettings" Target="../printerSettings/printerSettings1.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10" Type="http://schemas.openxmlformats.org/officeDocument/2006/relationships/ctrlProp" Target="../ctrlProps/ctrlProp2.xml"/><Relationship Id="rId4" Type="http://schemas.openxmlformats.org/officeDocument/2006/relationships/drawing" Target="../drawings/drawing1.xml"/><Relationship Id="rId9"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3.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printerSettings" Target="../printerSettings/printerSettings2.bin"/><Relationship Id="rId6" Type="http://schemas.openxmlformats.org/officeDocument/2006/relationships/oleObject" Target="../embeddings/oleObject3.bin"/><Relationship Id="rId5" Type="http://schemas.openxmlformats.org/officeDocument/2006/relationships/vmlDrawing" Target="../drawings/vmlDrawing2.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7" Type="http://schemas.openxmlformats.org/officeDocument/2006/relationships/ctrlProp" Target="../ctrlProps/ctrlProp4.xml"/><Relationship Id="rId2" Type="http://schemas.openxmlformats.org/officeDocument/2006/relationships/printerSettings" Target="../printerSettings/printerSettings4.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4.bin"/><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8" Type="http://schemas.openxmlformats.org/officeDocument/2006/relationships/oleObject" Target="../embeddings/oleObject6.bin"/><Relationship Id="rId3" Type="http://schemas.openxmlformats.org/officeDocument/2006/relationships/printerSettings" Target="../printerSettings/printerSettings5.bin"/><Relationship Id="rId7" Type="http://schemas.openxmlformats.org/officeDocument/2006/relationships/image" Target="../media/image1.emf"/><Relationship Id="rId2" Type="http://schemas.openxmlformats.org/officeDocument/2006/relationships/hyperlink" Target="http://www.dtcdtc.com/" TargetMode="External"/><Relationship Id="rId1" Type="http://schemas.openxmlformats.org/officeDocument/2006/relationships/hyperlink" Target="http://www.dtcdtc.com/" TargetMode="External"/><Relationship Id="rId6" Type="http://schemas.openxmlformats.org/officeDocument/2006/relationships/oleObject" Target="../embeddings/oleObject5.bin"/><Relationship Id="rId5" Type="http://schemas.openxmlformats.org/officeDocument/2006/relationships/vmlDrawing" Target="../drawings/vmlDrawing4.vml"/><Relationship Id="rId10" Type="http://schemas.openxmlformats.org/officeDocument/2006/relationships/ctrlProp" Target="../ctrlProps/ctrlProp6.xml"/><Relationship Id="rId4" Type="http://schemas.openxmlformats.org/officeDocument/2006/relationships/drawing" Target="../drawings/drawing4.xml"/><Relationship Id="rId9" Type="http://schemas.openxmlformats.org/officeDocument/2006/relationships/ctrlProp" Target="../ctrlProps/ctrlProp5.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7" Type="http://schemas.openxmlformats.org/officeDocument/2006/relationships/ctrlProp" Target="../ctrlProps/ctrlProp7.xml"/><Relationship Id="rId2" Type="http://schemas.openxmlformats.org/officeDocument/2006/relationships/printerSettings" Target="../printerSettings/printerSettings6.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7.bin"/><Relationship Id="rId4"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7" Type="http://schemas.openxmlformats.org/officeDocument/2006/relationships/ctrlProp" Target="../ctrlProps/ctrlProp8.xml"/><Relationship Id="rId2" Type="http://schemas.openxmlformats.org/officeDocument/2006/relationships/printerSettings" Target="../printerSettings/printerSettings7.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8.bin"/><Relationship Id="rId4" Type="http://schemas.openxmlformats.org/officeDocument/2006/relationships/vmlDrawing" Target="../drawings/vmlDrawing6.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7" Type="http://schemas.openxmlformats.org/officeDocument/2006/relationships/ctrlProp" Target="../ctrlProps/ctrlProp9.xml"/><Relationship Id="rId2" Type="http://schemas.openxmlformats.org/officeDocument/2006/relationships/printerSettings" Target="../printerSettings/printerSettings8.bin"/><Relationship Id="rId1" Type="http://schemas.openxmlformats.org/officeDocument/2006/relationships/hyperlink" Target="http://www.dtcdtc.com/" TargetMode="External"/><Relationship Id="rId6" Type="http://schemas.openxmlformats.org/officeDocument/2006/relationships/image" Target="../media/image1.emf"/><Relationship Id="rId5" Type="http://schemas.openxmlformats.org/officeDocument/2006/relationships/oleObject" Target="../embeddings/oleObject9.bin"/><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opLeftCell="A40" zoomScale="115" zoomScaleNormal="115" workbookViewId="0">
      <selection activeCell="K7" sqref="K7"/>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5.7109375" customWidth="1"/>
    <col min="7" max="8" width="17" hidden="1" customWidth="1"/>
    <col min="9" max="10" width="11.42578125" hidden="1" customWidth="1"/>
    <col min="11" max="11" width="16" customWidth="1"/>
    <col min="12" max="14" width="8.7109375" customWidth="1"/>
  </cols>
  <sheetData>
    <row r="1" spans="1:10" ht="30" customHeight="1">
      <c r="A1" s="87" t="s">
        <v>89</v>
      </c>
      <c r="B1" s="88"/>
      <c r="C1" s="88"/>
      <c r="D1" s="88"/>
      <c r="E1" s="89"/>
      <c r="H1" s="108" t="s">
        <v>91</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6">
        <v>1</v>
      </c>
      <c r="B8" s="99" t="s">
        <v>143</v>
      </c>
      <c r="C8" s="100"/>
      <c r="D8" s="100"/>
      <c r="E8" s="101"/>
      <c r="G8" s="1" t="s">
        <v>96</v>
      </c>
      <c r="H8" s="12">
        <v>10.9</v>
      </c>
      <c r="I8" s="12">
        <f>B10*C10/1000000*H8+E10/1000</f>
        <v>3.27</v>
      </c>
      <c r="J8" s="13" t="s">
        <v>150</v>
      </c>
    </row>
    <row r="9" spans="1:10" ht="21" customHeight="1">
      <c r="A9" s="97"/>
      <c r="B9" s="23" t="s">
        <v>115</v>
      </c>
      <c r="C9" s="24" t="s">
        <v>116</v>
      </c>
      <c r="D9" s="109" t="s">
        <v>0</v>
      </c>
      <c r="E9" s="20" t="s">
        <v>117</v>
      </c>
      <c r="F9" s="37"/>
      <c r="G9" s="1" t="s">
        <v>97</v>
      </c>
      <c r="H9" s="12">
        <v>12.2</v>
      </c>
      <c r="I9" s="12">
        <f>B10*C10/1000000*H9+E10/1000</f>
        <v>3.6599999999999997</v>
      </c>
      <c r="J9" s="12">
        <f>IF(J1=2,I9,J10)</f>
        <v>3.5999999999999996</v>
      </c>
    </row>
    <row r="10" spans="1:10" ht="30" customHeight="1" thickBot="1">
      <c r="A10" s="98"/>
      <c r="B10" s="9">
        <v>600</v>
      </c>
      <c r="C10" s="10">
        <v>500</v>
      </c>
      <c r="D10" s="110"/>
      <c r="E10" s="11">
        <v>0</v>
      </c>
      <c r="F10" s="38"/>
      <c r="G10" s="1" t="s">
        <v>98</v>
      </c>
      <c r="H10" s="12">
        <v>12.1</v>
      </c>
      <c r="I10" s="12">
        <f>B10*C10/1000000*H10+E10/1000</f>
        <v>3.63</v>
      </c>
      <c r="J10" s="12">
        <f>IF(J1=3,I10,J11)</f>
        <v>3.5999999999999996</v>
      </c>
    </row>
    <row r="11" spans="1:10" ht="30" customHeight="1">
      <c r="A11" s="96">
        <v>2</v>
      </c>
      <c r="B11" s="99" t="s">
        <v>139</v>
      </c>
      <c r="C11" s="100"/>
      <c r="D11" s="100"/>
      <c r="E11" s="101"/>
      <c r="F11" s="38"/>
      <c r="G11" s="1" t="s">
        <v>99</v>
      </c>
      <c r="H11" s="12">
        <v>14.5</v>
      </c>
      <c r="I11" s="12">
        <f>B10*C10/1000000*H11+E10/1000</f>
        <v>4.3499999999999996</v>
      </c>
      <c r="J11" s="12">
        <f>IF(J1=4,I11,J12)</f>
        <v>3.5999999999999996</v>
      </c>
    </row>
    <row r="12" spans="1:10" ht="21" customHeight="1">
      <c r="A12" s="97"/>
      <c r="B12" s="102"/>
      <c r="C12" s="25" t="s">
        <v>103</v>
      </c>
      <c r="D12" s="104" t="s">
        <v>104</v>
      </c>
      <c r="E12" s="105"/>
      <c r="F12" s="39"/>
      <c r="G12" s="1" t="s">
        <v>126</v>
      </c>
      <c r="H12" s="12">
        <v>16.5</v>
      </c>
      <c r="I12" s="12">
        <f>B10*C10/1000000*H12+E10/1000</f>
        <v>4.95</v>
      </c>
      <c r="J12" s="12">
        <f>IF(J1=5,I12,J13)</f>
        <v>3.5999999999999996</v>
      </c>
    </row>
    <row r="13" spans="1:10" ht="30" customHeight="1" thickBot="1">
      <c r="A13" s="98"/>
      <c r="B13" s="103"/>
      <c r="C13" s="15">
        <f>IF(J1=1,I8,J9)</f>
        <v>3.5999999999999996</v>
      </c>
      <c r="D13" s="106">
        <f>C13*B10</f>
        <v>2160</v>
      </c>
      <c r="E13" s="107"/>
      <c r="F13" s="40"/>
      <c r="G13" s="1" t="s">
        <v>100</v>
      </c>
      <c r="H13" s="12">
        <v>11</v>
      </c>
      <c r="I13" s="12">
        <f>B10*C10/1000000*H13+E10/1000</f>
        <v>3.3</v>
      </c>
      <c r="J13" s="12">
        <f>IF(J1=6,I13,J14)</f>
        <v>3.5999999999999996</v>
      </c>
    </row>
    <row r="14" spans="1:10" ht="22.9" customHeight="1">
      <c r="A14" s="76">
        <v>3</v>
      </c>
      <c r="B14" s="33" t="s">
        <v>130</v>
      </c>
      <c r="C14" s="41" t="s">
        <v>131</v>
      </c>
      <c r="D14" s="72" t="s">
        <v>132</v>
      </c>
      <c r="E14" s="73"/>
      <c r="F14" s="39"/>
      <c r="G14" s="1" t="s">
        <v>101</v>
      </c>
      <c r="H14" s="12">
        <v>12</v>
      </c>
      <c r="I14" s="12">
        <f>B10*C10/1000000*H14+E10/1000</f>
        <v>3.5999999999999996</v>
      </c>
      <c r="J14" s="12">
        <f>IF(J1=7,I14,J15)</f>
        <v>3.5999999999999996</v>
      </c>
    </row>
    <row r="15" spans="1:10" ht="33.6" customHeight="1">
      <c r="A15" s="77"/>
      <c r="B15" s="31" t="s">
        <v>133</v>
      </c>
      <c r="C15" s="42" t="str">
        <f>G17</f>
        <v>SQ02BH03A</v>
      </c>
      <c r="D15" s="74" t="str">
        <f>H17</f>
        <v>SQ02BH03B</v>
      </c>
      <c r="E15" s="75"/>
      <c r="G15" s="1" t="s">
        <v>127</v>
      </c>
      <c r="H15" s="12">
        <v>15</v>
      </c>
      <c r="I15" s="12">
        <f>B10*C10/1000000*H15+E10/1000</f>
        <v>4.5</v>
      </c>
      <c r="J15" s="12" t="e">
        <f>IF(J1=8,I15,J16)</f>
        <v>#REF!</v>
      </c>
    </row>
    <row r="16" spans="1:10" ht="33" customHeight="1" thickBot="1">
      <c r="A16" s="78"/>
      <c r="B16" s="34" t="s">
        <v>134</v>
      </c>
      <c r="C16" s="43" t="str">
        <f>G18</f>
        <v/>
      </c>
      <c r="D16" s="70" t="str">
        <f>H18</f>
        <v/>
      </c>
      <c r="E16" s="71"/>
      <c r="G16" s="1" t="s">
        <v>102</v>
      </c>
      <c r="H16" s="12">
        <v>11.2</v>
      </c>
      <c r="I16" s="12">
        <f>B10*C10/1000000*H16+E10/1000</f>
        <v>3.36</v>
      </c>
      <c r="J16" s="12" t="e">
        <f>IF(J1=9,I16,#REF!)</f>
        <v>#REF!</v>
      </c>
    </row>
    <row r="17" spans="1:10" ht="64.150000000000006" customHeight="1">
      <c r="A17" s="97">
        <v>4</v>
      </c>
      <c r="B17" s="114" t="s">
        <v>145</v>
      </c>
      <c r="C17" s="115"/>
      <c r="D17" s="115"/>
      <c r="E17" s="116"/>
      <c r="G17" t="str">
        <f>IF(D13&lt;480,"the door is too small",IF(D13&lt;960,"SQ02BL03A",IF(D13&lt;1600,"SQ02BM03A",IF(D13&lt;2500,"SQ02BH03A",IF(D13&lt;=4500,"SQ02BC03A","")))))</f>
        <v>SQ02BH03A</v>
      </c>
      <c r="H17" t="str">
        <f>IF(D13&lt;480,"too small!",IF(D13&lt;960,"SQ02BL03B",IF(D13&lt;1600,"SQ02BM03B",IF(D13&lt;2500,"SQ02BH03B",IF(D13&lt;=4500,"SQ02BC03B","")))))</f>
        <v>SQ02BH03B</v>
      </c>
    </row>
    <row r="18" spans="1:10" ht="22.9" customHeight="1">
      <c r="A18" s="97"/>
      <c r="B18" s="27" t="s">
        <v>105</v>
      </c>
      <c r="C18" s="28" t="s">
        <v>119</v>
      </c>
      <c r="D18" s="117" t="s">
        <v>121</v>
      </c>
      <c r="E18" s="118"/>
      <c r="G18" t="str">
        <f>IF(D13&gt;6750,"the door is too big, out of range", IF(D13&gt;5400,"3pcs of SQ02BC03A",IF(D13&gt;4500,"3pcs of SQ02BH03A",IF(D13&lt;=4500,""))))</f>
        <v/>
      </c>
      <c r="H18" t="str">
        <f>IF(D13&gt;6750,"the door is too big, out of range", IF(D13&gt;5400,"3pcs of SQ02BC03B",IF(D13&gt;4500,"3pcs of SQ02BH03B",IF(D13&lt;=4500,""))))</f>
        <v/>
      </c>
    </row>
    <row r="19" spans="1:10" ht="21" customHeight="1">
      <c r="A19" s="97"/>
      <c r="B19" s="16" t="s">
        <v>71</v>
      </c>
      <c r="C19" s="5" t="s">
        <v>75</v>
      </c>
      <c r="D19" s="85">
        <v>865</v>
      </c>
      <c r="E19" s="86"/>
    </row>
    <row r="20" spans="1:10" ht="21" customHeight="1">
      <c r="A20" s="97"/>
      <c r="B20" s="16" t="s">
        <v>72</v>
      </c>
      <c r="C20" s="5" t="s">
        <v>76</v>
      </c>
      <c r="D20" s="85">
        <v>1655</v>
      </c>
      <c r="E20" s="86"/>
    </row>
    <row r="21" spans="1:10" ht="21" customHeight="1">
      <c r="A21" s="97"/>
      <c r="B21" s="16" t="s">
        <v>73</v>
      </c>
      <c r="C21" s="5" t="s">
        <v>77</v>
      </c>
      <c r="D21" s="85">
        <v>2600</v>
      </c>
      <c r="E21" s="86"/>
    </row>
    <row r="22" spans="1:10" ht="21" customHeight="1" thickBot="1">
      <c r="A22" s="98"/>
      <c r="B22" s="17" t="s">
        <v>74</v>
      </c>
      <c r="C22" s="5" t="s">
        <v>78</v>
      </c>
      <c r="D22" s="119">
        <v>3500</v>
      </c>
      <c r="E22" s="120"/>
    </row>
    <row r="23" spans="1:10">
      <c r="A23" s="79" t="s">
        <v>106</v>
      </c>
      <c r="B23" s="80"/>
      <c r="C23" s="80"/>
      <c r="D23" s="80"/>
      <c r="E23" s="81"/>
    </row>
    <row r="24" spans="1:10" ht="15.75" thickBot="1">
      <c r="A24" s="82"/>
      <c r="B24" s="83"/>
      <c r="C24" s="83"/>
      <c r="D24" s="83"/>
      <c r="E24" s="84"/>
      <c r="H24" s="108" t="s">
        <v>128</v>
      </c>
      <c r="I24" s="108"/>
      <c r="J24" s="13">
        <v>7</v>
      </c>
    </row>
    <row r="25" spans="1:10" ht="30" customHeight="1"/>
    <row r="26" spans="1:10" ht="30" customHeight="1" thickBot="1"/>
    <row r="27" spans="1:10" ht="30" customHeight="1">
      <c r="A27" s="87" t="s">
        <v>151</v>
      </c>
      <c r="B27" s="88"/>
      <c r="C27" s="88"/>
      <c r="D27" s="88"/>
      <c r="E27" s="89"/>
    </row>
    <row r="28" spans="1:10" ht="30" customHeight="1">
      <c r="A28" s="90"/>
      <c r="B28" s="91"/>
      <c r="C28" s="91"/>
      <c r="D28" s="91"/>
      <c r="E28" s="92"/>
    </row>
    <row r="29" spans="1:10" ht="14.65" customHeight="1">
      <c r="A29" s="90"/>
      <c r="B29" s="91"/>
      <c r="C29" s="91"/>
      <c r="D29" s="91"/>
      <c r="E29" s="92"/>
    </row>
    <row r="30" spans="1:10" ht="14.65" customHeight="1">
      <c r="A30" s="90"/>
      <c r="B30" s="91"/>
      <c r="C30" s="91"/>
      <c r="D30" s="91"/>
      <c r="E30" s="92"/>
      <c r="G30" s="1" t="s">
        <v>95</v>
      </c>
      <c r="H30" s="1" t="s">
        <v>92</v>
      </c>
      <c r="I30" s="1" t="s">
        <v>93</v>
      </c>
      <c r="J30" s="1" t="s">
        <v>94</v>
      </c>
    </row>
    <row r="31" spans="1:10" ht="15" customHeight="1">
      <c r="A31" s="90"/>
      <c r="B31" s="91"/>
      <c r="C31" s="91"/>
      <c r="D31" s="91"/>
      <c r="E31" s="92"/>
      <c r="G31" s="1" t="s">
        <v>96</v>
      </c>
      <c r="H31" s="12">
        <v>10.9</v>
      </c>
      <c r="I31" s="12">
        <f>B36*C36/1000000*H31+E36/1000</f>
        <v>3.27</v>
      </c>
      <c r="J31" s="13" t="s">
        <v>4</v>
      </c>
    </row>
    <row r="32" spans="1:10" ht="30" customHeight="1">
      <c r="A32" s="90"/>
      <c r="B32" s="91"/>
      <c r="C32" s="91"/>
      <c r="D32" s="91"/>
      <c r="E32" s="92"/>
      <c r="G32" s="1" t="s">
        <v>97</v>
      </c>
      <c r="H32" s="12">
        <v>12.2</v>
      </c>
      <c r="I32" s="12">
        <f>B36*C36/1000000*H32+E36/1000</f>
        <v>3.6599999999999997</v>
      </c>
      <c r="J32" s="12">
        <f>IF(J24=2,I32,J33)</f>
        <v>3.5999999999999996</v>
      </c>
    </row>
    <row r="33" spans="1:11" ht="30" customHeight="1" thickBot="1">
      <c r="A33" s="93"/>
      <c r="B33" s="94"/>
      <c r="C33" s="94"/>
      <c r="D33" s="94"/>
      <c r="E33" s="95"/>
      <c r="G33" s="1" t="s">
        <v>98</v>
      </c>
      <c r="H33" s="12">
        <v>12.1</v>
      </c>
      <c r="I33" s="12">
        <f>B36*C36/1000000*H33+E36/1000</f>
        <v>3.63</v>
      </c>
      <c r="J33" s="12">
        <f>IF(J24=3,I33,J34)</f>
        <v>3.5999999999999996</v>
      </c>
    </row>
    <row r="34" spans="1:11" ht="30" customHeight="1">
      <c r="A34" s="97">
        <v>1</v>
      </c>
      <c r="B34" s="111" t="s">
        <v>143</v>
      </c>
      <c r="C34" s="112"/>
      <c r="D34" s="112"/>
      <c r="E34" s="113"/>
      <c r="F34" s="22"/>
      <c r="G34" s="1" t="s">
        <v>99</v>
      </c>
      <c r="H34" s="12">
        <v>14.5</v>
      </c>
      <c r="I34" s="12">
        <f>B36*C36/1000000*H34+E36/1000</f>
        <v>4.3499999999999996</v>
      </c>
      <c r="J34" s="12">
        <f>IF(J24=4,I34,J35)</f>
        <v>3.5999999999999996</v>
      </c>
      <c r="K34" s="29"/>
    </row>
    <row r="35" spans="1:11" ht="30" customHeight="1">
      <c r="A35" s="97"/>
      <c r="B35" s="23" t="s">
        <v>115</v>
      </c>
      <c r="C35" s="24" t="s">
        <v>116</v>
      </c>
      <c r="D35" s="109" t="s">
        <v>0</v>
      </c>
      <c r="E35" s="20" t="s">
        <v>117</v>
      </c>
      <c r="F35" s="22"/>
      <c r="G35" s="1" t="s">
        <v>126</v>
      </c>
      <c r="H35" s="12">
        <v>16.5</v>
      </c>
      <c r="I35" s="12">
        <f>B36*C36/1000000*H35+E36/1000</f>
        <v>4.95</v>
      </c>
      <c r="J35" s="12">
        <f>IF(J24=5,I35,J36)</f>
        <v>3.5999999999999996</v>
      </c>
      <c r="K35" s="29"/>
    </row>
    <row r="36" spans="1:11" ht="23.45" customHeight="1" thickBot="1">
      <c r="A36" s="98"/>
      <c r="B36" s="9">
        <v>600</v>
      </c>
      <c r="C36" s="10">
        <v>500</v>
      </c>
      <c r="D36" s="110"/>
      <c r="E36" s="11">
        <v>0</v>
      </c>
      <c r="G36" s="1" t="s">
        <v>100</v>
      </c>
      <c r="H36" s="12">
        <v>11</v>
      </c>
      <c r="I36" s="12">
        <f>B36*C36/1000000*H36+E36/1000</f>
        <v>3.3</v>
      </c>
      <c r="J36" s="12">
        <f>IF(J24=6,I36,J37)</f>
        <v>3.5999999999999996</v>
      </c>
    </row>
    <row r="37" spans="1:11" ht="30" customHeight="1">
      <c r="A37" s="96">
        <v>2</v>
      </c>
      <c r="B37" s="99" t="s">
        <v>139</v>
      </c>
      <c r="C37" s="100"/>
      <c r="D37" s="100"/>
      <c r="E37" s="101"/>
      <c r="G37" s="1" t="s">
        <v>101</v>
      </c>
      <c r="H37" s="12">
        <v>12</v>
      </c>
      <c r="I37" s="12">
        <f>B36*C36/1000000*H37+E36/1000</f>
        <v>3.5999999999999996</v>
      </c>
      <c r="J37" s="12">
        <f>IF(J24=7,I37,J38)</f>
        <v>3.5999999999999996</v>
      </c>
    </row>
    <row r="38" spans="1:11" ht="29.45" customHeight="1">
      <c r="A38" s="97"/>
      <c r="B38" s="102"/>
      <c r="C38" s="26" t="s">
        <v>103</v>
      </c>
      <c r="D38" s="104" t="s">
        <v>104</v>
      </c>
      <c r="E38" s="105"/>
      <c r="G38" s="1" t="s">
        <v>127</v>
      </c>
      <c r="H38" s="12">
        <v>15</v>
      </c>
      <c r="I38" s="12">
        <f>B36*C36/1000000*H38+E36/1000</f>
        <v>4.5</v>
      </c>
      <c r="J38" s="12">
        <f>IF(J24=8,I38,J39)</f>
        <v>0</v>
      </c>
    </row>
    <row r="39" spans="1:11" ht="25.15" customHeight="1" thickBot="1">
      <c r="A39" s="98"/>
      <c r="B39" s="103"/>
      <c r="C39" s="15">
        <f>IF(J24=1,I31,J32)</f>
        <v>3.5999999999999996</v>
      </c>
      <c r="D39" s="106">
        <f>C39*B36</f>
        <v>2160</v>
      </c>
      <c r="E39" s="107"/>
      <c r="G39" s="1" t="s">
        <v>102</v>
      </c>
      <c r="H39" s="12">
        <v>11.2</v>
      </c>
      <c r="I39" s="12">
        <f>B36*C36/1000000*H39+E36/1000</f>
        <v>3.36</v>
      </c>
      <c r="J39" s="12">
        <f>IF(J24=9,I39,J40)</f>
        <v>0</v>
      </c>
    </row>
    <row r="40" spans="1:11" ht="25.9" customHeight="1">
      <c r="A40" s="76">
        <v>3</v>
      </c>
      <c r="B40" s="33" t="s">
        <v>130</v>
      </c>
      <c r="C40" s="41" t="s">
        <v>131</v>
      </c>
      <c r="D40" s="72" t="s">
        <v>132</v>
      </c>
      <c r="E40" s="73"/>
      <c r="G40" t="str">
        <f>IF(D39&lt;580,"the door is too small",IF(D39&lt;1060,"SQ2FBL03A",IF(D39&lt;1800,"SQ2FBM03A",IF(D39&lt;2600,"SQ2FBH03A",IF(D39&lt;=5000,"SQ2FBC03A","")))))</f>
        <v>SQ2FBH03A</v>
      </c>
      <c r="H40" t="str">
        <f>IF(D39&lt;580,"too small!",IF(D39&lt;1060,"SQ2FBL03B",IF(D39&lt;1800,"SQ2FBM03B",IF(D39&lt;2600,"SQ2FBH03B",IF(D39&lt;=5000,"SQ2FBC03B","")))))</f>
        <v>SQ2FBH03B</v>
      </c>
    </row>
    <row r="41" spans="1:11" ht="32.450000000000003" customHeight="1">
      <c r="A41" s="77"/>
      <c r="B41" s="31" t="s">
        <v>133</v>
      </c>
      <c r="C41" s="42" t="str">
        <f>G40</f>
        <v>SQ2FBH03A</v>
      </c>
      <c r="D41" s="74" t="str">
        <f>H40</f>
        <v>SQ2FBH03B</v>
      </c>
      <c r="E41" s="75"/>
      <c r="G41" t="str">
        <f>IF(D39&gt;7500,"the door is too big, out of range", IF(D39&gt;6000,"3pcs of SQ2FBC03A",IF(D39&gt;5000,"3pcs of SQ2FBH03A",IF(D39&lt;=5000,""))))</f>
        <v/>
      </c>
      <c r="H41" t="str">
        <f>IF(D39&gt;7500,"the door is too big, out of range", IF(D39&gt;6000,"3pcs of SQ2FBC03B",IF(D39&gt;5000,"3pcs of SQ2FBH03B",IF(D39&lt;=5000,""))))</f>
        <v/>
      </c>
    </row>
    <row r="42" spans="1:11" ht="32.450000000000003" customHeight="1" thickBot="1">
      <c r="A42" s="78"/>
      <c r="B42" s="34" t="s">
        <v>134</v>
      </c>
      <c r="C42" s="43" t="str">
        <f>G41</f>
        <v/>
      </c>
      <c r="D42" s="70" t="str">
        <f>H41</f>
        <v/>
      </c>
      <c r="E42" s="71"/>
    </row>
    <row r="43" spans="1:11" ht="61.15" customHeight="1">
      <c r="A43" s="96">
        <v>4</v>
      </c>
      <c r="B43" s="121" t="s">
        <v>145</v>
      </c>
      <c r="C43" s="122"/>
      <c r="D43" s="122"/>
      <c r="E43" s="123"/>
    </row>
    <row r="44" spans="1:11">
      <c r="A44" s="97"/>
      <c r="B44" s="27" t="s">
        <v>105</v>
      </c>
      <c r="C44" s="28" t="s">
        <v>119</v>
      </c>
      <c r="D44" s="117" t="s">
        <v>121</v>
      </c>
      <c r="E44" s="118"/>
    </row>
    <row r="45" spans="1:11">
      <c r="A45" s="97"/>
      <c r="B45" s="16" t="s">
        <v>82</v>
      </c>
      <c r="C45" s="5" t="s">
        <v>120</v>
      </c>
      <c r="D45" s="85">
        <v>965</v>
      </c>
      <c r="E45" s="86"/>
    </row>
    <row r="46" spans="1:11">
      <c r="A46" s="97"/>
      <c r="B46" s="16" t="s">
        <v>83</v>
      </c>
      <c r="C46" s="5" t="s">
        <v>86</v>
      </c>
      <c r="D46" s="85">
        <v>1755</v>
      </c>
      <c r="E46" s="86"/>
    </row>
    <row r="47" spans="1:11">
      <c r="A47" s="97"/>
      <c r="B47" s="16" t="s">
        <v>84</v>
      </c>
      <c r="C47" s="5" t="s">
        <v>87</v>
      </c>
      <c r="D47" s="85">
        <v>2900</v>
      </c>
      <c r="E47" s="86"/>
    </row>
    <row r="48" spans="1:11" ht="15.75" thickBot="1">
      <c r="A48" s="98"/>
      <c r="B48" s="17" t="s">
        <v>85</v>
      </c>
      <c r="C48" s="5" t="s">
        <v>88</v>
      </c>
      <c r="D48" s="119">
        <v>3800</v>
      </c>
      <c r="E48" s="120"/>
    </row>
    <row r="49" spans="1:5">
      <c r="A49" s="79" t="s">
        <v>106</v>
      </c>
      <c r="B49" s="80"/>
      <c r="C49" s="80"/>
      <c r="D49" s="80"/>
      <c r="E49" s="81"/>
    </row>
    <row r="50" spans="1:5" ht="15.75" thickBot="1">
      <c r="A50" s="82"/>
      <c r="B50" s="83"/>
      <c r="C50" s="83"/>
      <c r="D50" s="83"/>
      <c r="E50" s="84"/>
    </row>
  </sheetData>
  <mergeCells count="44">
    <mergeCell ref="D47:E47"/>
    <mergeCell ref="D48:E48"/>
    <mergeCell ref="A49:E50"/>
    <mergeCell ref="A37:A39"/>
    <mergeCell ref="B37:E37"/>
    <mergeCell ref="B38:B39"/>
    <mergeCell ref="D38:E38"/>
    <mergeCell ref="D39:E39"/>
    <mergeCell ref="A43:A48"/>
    <mergeCell ref="B43:E43"/>
    <mergeCell ref="D44:E44"/>
    <mergeCell ref="D45:E45"/>
    <mergeCell ref="D46:E46"/>
    <mergeCell ref="A40:A42"/>
    <mergeCell ref="D40:E40"/>
    <mergeCell ref="D41:E41"/>
    <mergeCell ref="H24:I24"/>
    <mergeCell ref="A34:A36"/>
    <mergeCell ref="B34:E34"/>
    <mergeCell ref="D35:D36"/>
    <mergeCell ref="A17:A22"/>
    <mergeCell ref="B17:E17"/>
    <mergeCell ref="D18:E18"/>
    <mergeCell ref="D19:E19"/>
    <mergeCell ref="D20:E20"/>
    <mergeCell ref="D22:E22"/>
    <mergeCell ref="A1:E7"/>
    <mergeCell ref="H1:I1"/>
    <mergeCell ref="A8:A10"/>
    <mergeCell ref="B8:E8"/>
    <mergeCell ref="D9:D10"/>
    <mergeCell ref="A11:A13"/>
    <mergeCell ref="B11:E11"/>
    <mergeCell ref="B12:B13"/>
    <mergeCell ref="D12:E12"/>
    <mergeCell ref="D13:E13"/>
    <mergeCell ref="D42:E42"/>
    <mergeCell ref="D14:E14"/>
    <mergeCell ref="D15:E15"/>
    <mergeCell ref="D16:E16"/>
    <mergeCell ref="A14:A16"/>
    <mergeCell ref="A23:E24"/>
    <mergeCell ref="D21:E21"/>
    <mergeCell ref="A27:E33"/>
  </mergeCells>
  <phoneticPr fontId="14" type="noConversion"/>
  <hyperlinks>
    <hyperlink ref="A23" r:id="rId1" xr:uid="{00000000-0004-0000-0000-000000000000}"/>
    <hyperlink ref="A49" r:id="rId2" xr:uid="{1D1E841C-8F03-43C9-A475-A97A38665EC1}"/>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717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7170" r:id="rId6"/>
      </mc:Fallback>
    </mc:AlternateContent>
    <mc:AlternateContent xmlns:mc="http://schemas.openxmlformats.org/markup-compatibility/2006">
      <mc:Choice Requires="x14">
        <oleObject progId="CorelDraw.Graphic.18" shapeId="7171" r:id="rId8">
          <objectPr defaultSize="0" autoPict="0" r:id="rId7">
            <anchor moveWithCells="1">
              <from>
                <xdr:col>0</xdr:col>
                <xdr:colOff>152400</xdr:colOff>
                <xdr:row>26</xdr:row>
                <xdr:rowOff>161925</xdr:rowOff>
              </from>
              <to>
                <xdr:col>1</xdr:col>
                <xdr:colOff>1638300</xdr:colOff>
                <xdr:row>28</xdr:row>
                <xdr:rowOff>9525</xdr:rowOff>
              </to>
            </anchor>
          </objectPr>
        </oleObject>
      </mc:Choice>
      <mc:Fallback>
        <oleObject progId="CorelDraw.Graphic.18" shapeId="7171" r:id="rId8"/>
      </mc:Fallback>
    </mc:AlternateContent>
  </oleObjects>
  <mc:AlternateContent xmlns:mc="http://schemas.openxmlformats.org/markup-compatibility/2006">
    <mc:Choice Requires="x14">
      <controls>
        <mc:AlternateContent xmlns:mc="http://schemas.openxmlformats.org/markup-compatibility/2006">
          <mc:Choice Requires="x14">
            <control shapeId="7169" r:id="rId9" name="Drop Down 1">
              <controlPr defaultSize="0" autoLine="0" autoPict="0">
                <anchor>
                  <from>
                    <xdr:col>1</xdr:col>
                    <xdr:colOff>47625</xdr:colOff>
                    <xdr:row>11</xdr:row>
                    <xdr:rowOff>76200</xdr:rowOff>
                  </from>
                  <to>
                    <xdr:col>1</xdr:col>
                    <xdr:colOff>2152650</xdr:colOff>
                    <xdr:row>12</xdr:row>
                    <xdr:rowOff>295275</xdr:rowOff>
                  </to>
                </anchor>
              </controlPr>
            </control>
          </mc:Choice>
        </mc:AlternateContent>
        <mc:AlternateContent xmlns:mc="http://schemas.openxmlformats.org/markup-compatibility/2006">
          <mc:Choice Requires="x14">
            <control shapeId="7172" r:id="rId10" name="Drop Down 4">
              <controlPr defaultSize="0" autoLine="0" autoPict="0">
                <anchor>
                  <from>
                    <xdr:col>1</xdr:col>
                    <xdr:colOff>95250</xdr:colOff>
                    <xdr:row>37</xdr:row>
                    <xdr:rowOff>95250</xdr:rowOff>
                  </from>
                  <to>
                    <xdr:col>1</xdr:col>
                    <xdr:colOff>2152650</xdr:colOff>
                    <xdr:row>38</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3"/>
  <sheetViews>
    <sheetView topLeftCell="A14" zoomScale="115" zoomScaleNormal="115" workbookViewId="0">
      <selection activeCell="F12" sqref="F12"/>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6" width="18.140625" customWidth="1"/>
    <col min="7" max="7" width="23.42578125" hidden="1" customWidth="1"/>
    <col min="8" max="8" width="14.7109375" hidden="1" customWidth="1"/>
    <col min="9" max="9" width="16.28515625" hidden="1" customWidth="1"/>
    <col min="10" max="10" width="24.42578125" hidden="1" customWidth="1"/>
    <col min="11" max="11" width="28.28515625" customWidth="1"/>
    <col min="12" max="14" width="8.7109375" customWidth="1"/>
  </cols>
  <sheetData>
    <row r="1" spans="1:10" ht="30" customHeight="1">
      <c r="A1" s="124" t="s">
        <v>79</v>
      </c>
      <c r="B1" s="88"/>
      <c r="C1" s="88"/>
      <c r="D1" s="88"/>
      <c r="E1" s="89"/>
      <c r="H1" s="108" t="s">
        <v>91</v>
      </c>
      <c r="I1" s="108"/>
      <c r="J1" s="13">
        <v>5</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143</v>
      </c>
      <c r="C8" s="112"/>
      <c r="D8" s="112"/>
      <c r="E8" s="113"/>
      <c r="G8" s="1" t="s">
        <v>96</v>
      </c>
      <c r="H8" s="12">
        <v>10.9</v>
      </c>
      <c r="I8" s="12">
        <f>B10*C10/1000000*H8+E10/1000</f>
        <v>3.27</v>
      </c>
      <c r="J8" s="13" t="s">
        <v>4</v>
      </c>
    </row>
    <row r="9" spans="1:10">
      <c r="A9" s="97"/>
      <c r="B9" s="23" t="s">
        <v>122</v>
      </c>
      <c r="C9" s="24" t="s">
        <v>116</v>
      </c>
      <c r="D9" s="109" t="s">
        <v>0</v>
      </c>
      <c r="E9" s="21" t="s">
        <v>117</v>
      </c>
      <c r="G9" s="1" t="s">
        <v>97</v>
      </c>
      <c r="H9" s="12">
        <v>12.2</v>
      </c>
      <c r="I9" s="12">
        <f>B10*C10/1000000*H9+E10/1000</f>
        <v>3.6599999999999997</v>
      </c>
      <c r="J9" s="12">
        <f>IF(J1=2,I9,J10)</f>
        <v>4.95</v>
      </c>
    </row>
    <row r="10" spans="1:10" ht="30" customHeight="1" thickBot="1">
      <c r="A10" s="98"/>
      <c r="B10" s="9">
        <v>600</v>
      </c>
      <c r="C10" s="10">
        <v>500</v>
      </c>
      <c r="D10" s="110"/>
      <c r="E10" s="11">
        <v>0</v>
      </c>
      <c r="G10" s="1" t="s">
        <v>98</v>
      </c>
      <c r="H10" s="12">
        <v>12.1</v>
      </c>
      <c r="I10" s="12">
        <f>B10*C10/1000000*H10+E10/1000</f>
        <v>3.63</v>
      </c>
      <c r="J10" s="12">
        <f>IF(J1=3,I10,J11)</f>
        <v>4.95</v>
      </c>
    </row>
    <row r="11" spans="1:10" ht="30" customHeight="1">
      <c r="A11" s="96">
        <v>2</v>
      </c>
      <c r="B11" s="99" t="s">
        <v>139</v>
      </c>
      <c r="C11" s="100"/>
      <c r="D11" s="100"/>
      <c r="E11" s="101"/>
      <c r="G11" s="1" t="s">
        <v>99</v>
      </c>
      <c r="H11" s="12">
        <v>14.5</v>
      </c>
      <c r="I11" s="12">
        <f>B10*C10/1000000*H11+E10/1000</f>
        <v>4.3499999999999996</v>
      </c>
      <c r="J11" s="12">
        <f>IF(J1=4,I11,J12)</f>
        <v>4.95</v>
      </c>
    </row>
    <row r="12" spans="1:10" ht="25.9" customHeight="1">
      <c r="A12" s="97"/>
      <c r="B12" s="102"/>
      <c r="C12" s="25" t="s">
        <v>103</v>
      </c>
      <c r="D12" s="104" t="s">
        <v>104</v>
      </c>
      <c r="E12" s="105"/>
      <c r="G12" s="1" t="s">
        <v>126</v>
      </c>
      <c r="H12" s="12">
        <v>16.5</v>
      </c>
      <c r="I12" s="12">
        <f>B10*C10/1000000*H12+E10/1000</f>
        <v>4.95</v>
      </c>
      <c r="J12" s="12">
        <f>IF(J1=5,I12,J13)</f>
        <v>4.95</v>
      </c>
    </row>
    <row r="13" spans="1:10" ht="30" customHeight="1" thickBot="1">
      <c r="A13" s="98"/>
      <c r="B13" s="103"/>
      <c r="C13" s="15">
        <f>IF(J1=1,I8,J9)</f>
        <v>4.95</v>
      </c>
      <c r="D13" s="106">
        <f>C13*B10</f>
        <v>2970</v>
      </c>
      <c r="E13" s="107"/>
      <c r="F13" s="29"/>
      <c r="G13" s="1" t="s">
        <v>100</v>
      </c>
      <c r="H13" s="12">
        <v>11</v>
      </c>
      <c r="I13" s="12">
        <f>B10*C10/1000000*H13+E10/1000</f>
        <v>3.3</v>
      </c>
      <c r="J13" s="12" t="e">
        <f>IF(J1=6,I13,J14)</f>
        <v>#REF!</v>
      </c>
    </row>
    <row r="14" spans="1:10" ht="29.45" customHeight="1">
      <c r="A14" s="76">
        <v>3</v>
      </c>
      <c r="B14" s="33" t="s">
        <v>130</v>
      </c>
      <c r="C14" s="41" t="s">
        <v>131</v>
      </c>
      <c r="D14" s="72" t="s">
        <v>132</v>
      </c>
      <c r="E14" s="73"/>
      <c r="F14" s="29"/>
      <c r="G14" s="1" t="s">
        <v>101</v>
      </c>
      <c r="H14" s="12">
        <v>12</v>
      </c>
      <c r="I14" s="12">
        <f>B10*C10/1000000*H14+E10/1000</f>
        <v>3.5999999999999996</v>
      </c>
      <c r="J14" s="12" t="e">
        <f>IF(J1=7,I14,J15)</f>
        <v>#REF!</v>
      </c>
    </row>
    <row r="15" spans="1:10" ht="34.15" customHeight="1">
      <c r="A15" s="77"/>
      <c r="B15" s="31" t="s">
        <v>133</v>
      </c>
      <c r="C15" s="42" t="str">
        <f>G17</f>
        <v>SQ00AH02A</v>
      </c>
      <c r="D15" s="74" t="str">
        <f>H17</f>
        <v>SQ00AH02B</v>
      </c>
      <c r="E15" s="75"/>
      <c r="G15" s="1" t="s">
        <v>127</v>
      </c>
      <c r="H15" s="12">
        <v>15</v>
      </c>
      <c r="I15" s="12">
        <f>B10*C10/1000000*H15+E10/1000</f>
        <v>4.5</v>
      </c>
      <c r="J15" s="12" t="e">
        <f>IF(J1=8,I15,J16)</f>
        <v>#REF!</v>
      </c>
    </row>
    <row r="16" spans="1:10" ht="34.15" customHeight="1" thickBot="1">
      <c r="A16" s="78"/>
      <c r="B16" s="34" t="s">
        <v>134</v>
      </c>
      <c r="C16" s="43" t="str">
        <f>G18</f>
        <v/>
      </c>
      <c r="D16" s="70" t="str">
        <f>H18</f>
        <v/>
      </c>
      <c r="E16" s="71"/>
      <c r="G16" s="1" t="s">
        <v>102</v>
      </c>
      <c r="H16" s="12">
        <v>11.2</v>
      </c>
      <c r="I16" s="12">
        <f>B10*C10/1000000*H16+E10/1000</f>
        <v>3.36</v>
      </c>
      <c r="J16" s="12" t="e">
        <f>IF(J1=9,I16,#REF!)</f>
        <v>#REF!</v>
      </c>
    </row>
    <row r="17" spans="1:8" ht="65.45" customHeight="1">
      <c r="A17" s="96">
        <v>4</v>
      </c>
      <c r="B17" s="121" t="s">
        <v>144</v>
      </c>
      <c r="C17" s="122"/>
      <c r="D17" s="122"/>
      <c r="E17" s="123"/>
      <c r="G17" s="29" t="str">
        <f>IF(D13&lt;580,"the door is too small",IF(D13&lt;960,"SQ00AL02A",IF(D13&lt;1800,"SQ00AM02A",IF(D13&lt;=3500,"SQ00AH02A",""))))</f>
        <v>SQ00AH02A</v>
      </c>
      <c r="H17" s="29" t="str">
        <f>IF(D13&lt;580,"the door is too small",IF(D13&lt;960,"SQ00AL02B",IF(D13&lt;1800,"SQ00AM02B",IF(D13&lt;=3500,"SQ00AH02B",""))))</f>
        <v>SQ00AH02B</v>
      </c>
    </row>
    <row r="18" spans="1:8" ht="15" customHeight="1">
      <c r="A18" s="97"/>
      <c r="B18" s="27" t="s">
        <v>105</v>
      </c>
      <c r="C18" s="28" t="s">
        <v>123</v>
      </c>
      <c r="D18" s="117" t="s">
        <v>121</v>
      </c>
      <c r="E18" s="118"/>
      <c r="G18" t="str">
        <f>IF(D13&gt;5250,"the door is too big, out of range",IF(D13&gt;3500,"3pcs of SQ00AH02A",""))</f>
        <v/>
      </c>
      <c r="H18" t="str">
        <f>IF(D13&gt;5250,"the door is too big, out of range",IF(D13&gt;3500,"3pcs of SQ00AH02B",""))</f>
        <v/>
      </c>
    </row>
    <row r="19" spans="1:8" ht="15" customHeight="1">
      <c r="A19" s="97"/>
      <c r="B19" s="16" t="s">
        <v>5</v>
      </c>
      <c r="C19" s="5" t="s">
        <v>1</v>
      </c>
      <c r="D19" s="85">
        <v>915</v>
      </c>
      <c r="E19" s="86"/>
    </row>
    <row r="20" spans="1:8" ht="15" customHeight="1">
      <c r="A20" s="97"/>
      <c r="B20" s="16" t="s">
        <v>6</v>
      </c>
      <c r="C20" s="5" t="s">
        <v>2</v>
      </c>
      <c r="D20" s="85">
        <v>1500</v>
      </c>
      <c r="E20" s="86"/>
    </row>
    <row r="21" spans="1:8" ht="15" customHeight="1" thickBot="1">
      <c r="A21" s="98"/>
      <c r="B21" s="17" t="s">
        <v>7</v>
      </c>
      <c r="C21" s="6" t="s">
        <v>3</v>
      </c>
      <c r="D21" s="119">
        <v>2650</v>
      </c>
      <c r="E21" s="120"/>
    </row>
    <row r="22" spans="1:8">
      <c r="A22" s="79" t="s">
        <v>106</v>
      </c>
      <c r="B22" s="80"/>
      <c r="C22" s="80"/>
      <c r="D22" s="80"/>
      <c r="E22" s="81"/>
    </row>
    <row r="23" spans="1:8" ht="15.75" thickBot="1">
      <c r="A23" s="82"/>
      <c r="B23" s="83"/>
      <c r="C23" s="83"/>
      <c r="D23" s="83"/>
      <c r="E23" s="84"/>
    </row>
  </sheetData>
  <customSheetViews>
    <customSheetView guid="{947B752F-E4E5-4C5C-81CB-1317F626B06B}" showPageBreaks="1" hiddenColumns="1">
      <selection activeCell="N11" sqref="N11"/>
      <pageMargins left="0.7" right="0.7" top="0.75" bottom="0.75" header="0.3" footer="0.3"/>
      <pageSetup paperSize="9" orientation="portrait" r:id="rId1"/>
    </customSheetView>
  </customSheetViews>
  <mergeCells count="21">
    <mergeCell ref="A22:E23"/>
    <mergeCell ref="A8:A10"/>
    <mergeCell ref="A11:A13"/>
    <mergeCell ref="A17:A21"/>
    <mergeCell ref="H1:I1"/>
    <mergeCell ref="D18:E18"/>
    <mergeCell ref="D19:E19"/>
    <mergeCell ref="D20:E20"/>
    <mergeCell ref="D21:E21"/>
    <mergeCell ref="D9:D10"/>
    <mergeCell ref="B8:E8"/>
    <mergeCell ref="B11:E11"/>
    <mergeCell ref="B12:B13"/>
    <mergeCell ref="D12:E12"/>
    <mergeCell ref="D13:E13"/>
    <mergeCell ref="B17:E17"/>
    <mergeCell ref="A1:E7"/>
    <mergeCell ref="A14:A16"/>
    <mergeCell ref="D14:E14"/>
    <mergeCell ref="D15:E15"/>
    <mergeCell ref="D16:E16"/>
  </mergeCells>
  <phoneticPr fontId="14" type="noConversion"/>
  <hyperlinks>
    <hyperlink ref="A22" r:id="rId2" xr:uid="{398CC8D5-E762-4E1E-9A91-1412566AEB67}"/>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1030" r:id="rId6">
          <objectPr defaultSize="0" autoPict="0" r:id="rId7">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030" r:id="rId6"/>
      </mc:Fallback>
    </mc:AlternateContent>
  </oleObjects>
  <mc:AlternateContent xmlns:mc="http://schemas.openxmlformats.org/markup-compatibility/2006">
    <mc:Choice Requires="x14">
      <controls>
        <mc:AlternateContent xmlns:mc="http://schemas.openxmlformats.org/markup-compatibility/2006">
          <mc:Choice Requires="x14">
            <control shapeId="1027" r:id="rId8" name="Drop Down 3">
              <controlPr defaultSize="0" autoLine="0" autoPict="0">
                <anchor>
                  <from>
                    <xdr:col>1</xdr:col>
                    <xdr:colOff>38100</xdr:colOff>
                    <xdr:row>11</xdr:row>
                    <xdr:rowOff>95250</xdr:rowOff>
                  </from>
                  <to>
                    <xdr:col>1</xdr:col>
                    <xdr:colOff>2181225</xdr:colOff>
                    <xdr:row>12</xdr:row>
                    <xdr:rowOff>266700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24"/>
  <sheetViews>
    <sheetView zoomScale="115" zoomScaleNormal="115" workbookViewId="0">
      <selection activeCell="K2" sqref="K2"/>
    </sheetView>
  </sheetViews>
  <sheetFormatPr defaultColWidth="9.140625" defaultRowHeight="15"/>
  <cols>
    <col min="1" max="1" width="4.42578125" customWidth="1"/>
    <col min="2" max="2" width="32.42578125" customWidth="1"/>
    <col min="3" max="3" width="31.7109375" customWidth="1"/>
    <col min="4" max="4" width="8.140625" customWidth="1"/>
    <col min="5" max="5" width="23.42578125" customWidth="1"/>
    <col min="6" max="6" width="18.140625" customWidth="1"/>
    <col min="7" max="7" width="15.140625" hidden="1" customWidth="1"/>
    <col min="8" max="8" width="16.42578125" hidden="1" customWidth="1"/>
    <col min="9" max="9" width="18" hidden="1" customWidth="1"/>
    <col min="10" max="10" width="14.42578125" hidden="1" customWidth="1"/>
    <col min="11" max="11" width="14.42578125" customWidth="1"/>
    <col min="12" max="14" width="8.7109375" customWidth="1"/>
  </cols>
  <sheetData>
    <row r="1" spans="1:10" ht="30" customHeight="1">
      <c r="A1" s="124" t="s">
        <v>80</v>
      </c>
      <c r="B1" s="88"/>
      <c r="C1" s="88"/>
      <c r="D1" s="88"/>
      <c r="E1" s="89"/>
      <c r="H1" s="108" t="s">
        <v>108</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143</v>
      </c>
      <c r="C8" s="112"/>
      <c r="D8" s="112"/>
      <c r="E8" s="113"/>
      <c r="G8" s="1" t="s">
        <v>96</v>
      </c>
      <c r="H8" s="12">
        <v>10.9</v>
      </c>
      <c r="I8" s="12">
        <f>B10*C10/1000000*H8+E10/1000</f>
        <v>3.2719999999999998</v>
      </c>
      <c r="J8" s="13" t="s">
        <v>4</v>
      </c>
    </row>
    <row r="9" spans="1:10">
      <c r="A9" s="97"/>
      <c r="B9" s="23" t="s">
        <v>124</v>
      </c>
      <c r="C9" s="24" t="s">
        <v>116</v>
      </c>
      <c r="D9" s="109" t="s">
        <v>0</v>
      </c>
      <c r="E9" s="21" t="s">
        <v>117</v>
      </c>
      <c r="G9" s="1" t="s">
        <v>97</v>
      </c>
      <c r="H9" s="12">
        <v>12.2</v>
      </c>
      <c r="I9" s="12">
        <f>B10*C10/1000000*H9+E10/1000</f>
        <v>3.6619999999999995</v>
      </c>
      <c r="J9" s="12">
        <f>IF(J1=2,I9,J10)</f>
        <v>3.6019999999999994</v>
      </c>
    </row>
    <row r="10" spans="1:10" ht="30" customHeight="1" thickBot="1">
      <c r="A10" s="98"/>
      <c r="B10" s="9">
        <v>600</v>
      </c>
      <c r="C10" s="10">
        <v>500</v>
      </c>
      <c r="D10" s="110"/>
      <c r="E10" s="11">
        <v>2</v>
      </c>
      <c r="G10" s="1" t="s">
        <v>98</v>
      </c>
      <c r="H10" s="12">
        <v>12.1</v>
      </c>
      <c r="I10" s="12">
        <f>B10*C10/1000000*H10+E10/1000</f>
        <v>3.6319999999999997</v>
      </c>
      <c r="J10" s="12">
        <f>IF(J1=3,I10,J11)</f>
        <v>3.6019999999999994</v>
      </c>
    </row>
    <row r="11" spans="1:10" ht="30" customHeight="1">
      <c r="A11" s="96">
        <v>2</v>
      </c>
      <c r="B11" s="99" t="s">
        <v>139</v>
      </c>
      <c r="C11" s="100"/>
      <c r="D11" s="100"/>
      <c r="E11" s="101"/>
      <c r="G11" s="1" t="s">
        <v>99</v>
      </c>
      <c r="H11" s="12">
        <v>14.5</v>
      </c>
      <c r="I11" s="12">
        <f>B10*C10/1000000*H11+E10/1000</f>
        <v>4.3519999999999994</v>
      </c>
      <c r="J11" s="12">
        <f>IF(J1=4,I11,J12)</f>
        <v>3.6019999999999994</v>
      </c>
    </row>
    <row r="12" spans="1:10" ht="20.45" customHeight="1">
      <c r="A12" s="97"/>
      <c r="B12" s="102"/>
      <c r="C12" s="25" t="s">
        <v>103</v>
      </c>
      <c r="D12" s="104" t="s">
        <v>104</v>
      </c>
      <c r="E12" s="105"/>
      <c r="G12" s="1" t="s">
        <v>126</v>
      </c>
      <c r="H12" s="12">
        <v>16.5</v>
      </c>
      <c r="I12" s="12">
        <f>B10*C10/1000000*H12+E10/1000</f>
        <v>4.952</v>
      </c>
      <c r="J12" s="12">
        <f>IF(J1=5,I12,J13)</f>
        <v>3.6019999999999994</v>
      </c>
    </row>
    <row r="13" spans="1:10" ht="30" customHeight="1" thickBot="1">
      <c r="A13" s="98"/>
      <c r="B13" s="103"/>
      <c r="C13" s="15">
        <f>IF(J1=1,I8,J9)</f>
        <v>3.6019999999999994</v>
      </c>
      <c r="D13" s="125">
        <f>C13*B10</f>
        <v>2161.1999999999998</v>
      </c>
      <c r="E13" s="126"/>
      <c r="F13" s="29"/>
      <c r="G13" s="1" t="s">
        <v>100</v>
      </c>
      <c r="H13" s="12">
        <v>11</v>
      </c>
      <c r="I13" s="12">
        <f>B10*C10/1000000*H13+E10/1000</f>
        <v>3.3019999999999996</v>
      </c>
      <c r="J13" s="12">
        <f>IF(J1=6,I13,J14)</f>
        <v>3.6019999999999994</v>
      </c>
    </row>
    <row r="14" spans="1:10" ht="25.9" customHeight="1">
      <c r="A14" s="76">
        <v>3</v>
      </c>
      <c r="B14" s="33" t="s">
        <v>130</v>
      </c>
      <c r="C14" s="41" t="s">
        <v>131</v>
      </c>
      <c r="D14" s="72" t="s">
        <v>132</v>
      </c>
      <c r="E14" s="73"/>
      <c r="F14" s="29"/>
      <c r="G14" s="1" t="s">
        <v>101</v>
      </c>
      <c r="H14" s="12">
        <v>12</v>
      </c>
      <c r="I14" s="12">
        <f>B10*C10/1000000*H14+E10/1000</f>
        <v>3.6019999999999994</v>
      </c>
      <c r="J14" s="12">
        <f>IF(J1=7,I14,J15)</f>
        <v>3.6019999999999994</v>
      </c>
    </row>
    <row r="15" spans="1:10" ht="37.9" customHeight="1">
      <c r="A15" s="77"/>
      <c r="B15" s="31" t="s">
        <v>133</v>
      </c>
      <c r="C15" s="42" t="str">
        <f>G17</f>
        <v>SF00AM02A</v>
      </c>
      <c r="D15" s="74" t="str">
        <f>H17</f>
        <v>SF00AM02B</v>
      </c>
      <c r="E15" s="75"/>
      <c r="G15" s="1" t="s">
        <v>127</v>
      </c>
      <c r="H15" s="12">
        <v>15</v>
      </c>
      <c r="I15" s="12">
        <f>B10*C10/1000000*H15+E10/1000</f>
        <v>4.5019999999999998</v>
      </c>
      <c r="J15" s="12">
        <f>IF(J1=8,I15,J16)</f>
        <v>0</v>
      </c>
    </row>
    <row r="16" spans="1:10" ht="37.9" customHeight="1" thickBot="1">
      <c r="A16" s="78"/>
      <c r="B16" s="34" t="s">
        <v>134</v>
      </c>
      <c r="C16" s="43" t="str">
        <f>G18</f>
        <v/>
      </c>
      <c r="D16" s="70" t="str">
        <f>H18</f>
        <v/>
      </c>
      <c r="E16" s="71"/>
      <c r="G16" s="1" t="s">
        <v>102</v>
      </c>
      <c r="H16" s="12">
        <v>11.2</v>
      </c>
      <c r="I16" s="12">
        <f>B10*C10/1000000*H16+E10/1000</f>
        <v>3.3619999999999997</v>
      </c>
      <c r="J16" s="12">
        <f>IF(J1=9,I16,J17)</f>
        <v>0</v>
      </c>
    </row>
    <row r="17" spans="1:8" ht="60" customHeight="1">
      <c r="A17" s="96">
        <v>4</v>
      </c>
      <c r="B17" s="121" t="s">
        <v>142</v>
      </c>
      <c r="C17" s="122"/>
      <c r="D17" s="122"/>
      <c r="E17" s="123"/>
      <c r="G17" s="29" t="str">
        <f>IF(D13&lt;480,"the door is too small",IF(D13&lt;750,"SF00AD02A",IF(D13&lt;1500,"SF00AL02A",IF(D13&lt;3200,"SF00AM02A",IF(D13&lt;=9000,"SF00AH02A","")))))</f>
        <v>SF00AM02A</v>
      </c>
      <c r="H17" s="29" t="str">
        <f>IF(D13&lt;480,"the door is too small",IF(D13&lt;750,"SF00AD02B",IF(D13&lt;1500,"SF00AL02B",IF(D13&lt;3200,"SF00AM02B",IF(D13&lt;=9000,"SF00AH02B","")))))</f>
        <v>SF00AM02B</v>
      </c>
    </row>
    <row r="18" spans="1:8">
      <c r="A18" s="97"/>
      <c r="B18" s="27" t="s">
        <v>105</v>
      </c>
      <c r="C18" s="28" t="s">
        <v>123</v>
      </c>
      <c r="D18" s="117" t="s">
        <v>121</v>
      </c>
      <c r="E18" s="118"/>
      <c r="G18" t="str">
        <f>IF(D13&gt;13500,"the door is too big, out of range",IF(D13&gt;9000,"3pcs of SF00AH02A",""))</f>
        <v/>
      </c>
      <c r="H18" t="str">
        <f>IF(D13&gt;13500,"the door is too big, out of range",IF(D13&gt;9000,"3pcs of SF00AH02B",""))</f>
        <v/>
      </c>
    </row>
    <row r="19" spans="1:8">
      <c r="A19" s="97"/>
      <c r="B19" s="4" t="s">
        <v>11</v>
      </c>
      <c r="C19" s="5" t="s">
        <v>12</v>
      </c>
      <c r="D19" s="85">
        <v>990</v>
      </c>
      <c r="E19" s="86"/>
    </row>
    <row r="20" spans="1:8">
      <c r="A20" s="97"/>
      <c r="B20" s="16" t="s">
        <v>8</v>
      </c>
      <c r="C20" s="5" t="s">
        <v>13</v>
      </c>
      <c r="D20" s="85">
        <v>1625</v>
      </c>
      <c r="E20" s="86"/>
    </row>
    <row r="21" spans="1:8">
      <c r="A21" s="97"/>
      <c r="B21" s="16" t="s">
        <v>9</v>
      </c>
      <c r="C21" s="5" t="s">
        <v>14</v>
      </c>
      <c r="D21" s="85">
        <v>3200</v>
      </c>
      <c r="E21" s="86"/>
    </row>
    <row r="22" spans="1:8" ht="15.75" thickBot="1">
      <c r="A22" s="98"/>
      <c r="B22" s="17" t="s">
        <v>10</v>
      </c>
      <c r="C22" s="6" t="s">
        <v>15</v>
      </c>
      <c r="D22" s="119">
        <v>6100</v>
      </c>
      <c r="E22" s="120"/>
    </row>
    <row r="23" spans="1:8">
      <c r="A23" s="79" t="s">
        <v>106</v>
      </c>
      <c r="B23" s="80"/>
      <c r="C23" s="80"/>
      <c r="D23" s="80"/>
      <c r="E23" s="81"/>
    </row>
    <row r="24" spans="1:8" ht="15.75" thickBot="1">
      <c r="A24" s="82"/>
      <c r="B24" s="83"/>
      <c r="C24" s="83"/>
      <c r="D24" s="83"/>
      <c r="E24" s="84"/>
    </row>
  </sheetData>
  <mergeCells count="22">
    <mergeCell ref="D15:E15"/>
    <mergeCell ref="A1:E7"/>
    <mergeCell ref="H1:I1"/>
    <mergeCell ref="A8:A10"/>
    <mergeCell ref="B8:E8"/>
    <mergeCell ref="D9:D10"/>
    <mergeCell ref="D16:E16"/>
    <mergeCell ref="D21:E21"/>
    <mergeCell ref="D22:E22"/>
    <mergeCell ref="A23:E24"/>
    <mergeCell ref="A11:A13"/>
    <mergeCell ref="B11:E11"/>
    <mergeCell ref="B12:B13"/>
    <mergeCell ref="D12:E12"/>
    <mergeCell ref="D13:E13"/>
    <mergeCell ref="A17:A22"/>
    <mergeCell ref="B17:E17"/>
    <mergeCell ref="D18:E18"/>
    <mergeCell ref="D19:E19"/>
    <mergeCell ref="D20:E20"/>
    <mergeCell ref="A14:A16"/>
    <mergeCell ref="D14:E14"/>
  </mergeCells>
  <phoneticPr fontId="14" type="noConversion"/>
  <hyperlinks>
    <hyperlink ref="A23" r:id="rId1" xr:uid="{00000000-0004-0000-02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2053"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2053" r:id="rId5"/>
      </mc:Fallback>
    </mc:AlternateContent>
  </oleObjects>
  <mc:AlternateContent xmlns:mc="http://schemas.openxmlformats.org/markup-compatibility/2006">
    <mc:Choice Requires="x14">
      <controls>
        <mc:AlternateContent xmlns:mc="http://schemas.openxmlformats.org/markup-compatibility/2006">
          <mc:Choice Requires="x14">
            <control shapeId="2051" r:id="rId7" name="Drop Down 3">
              <controlPr defaultSize="0" autoLine="0" autoPict="0">
                <anchor>
                  <from>
                    <xdr:col>1</xdr:col>
                    <xdr:colOff>28575</xdr:colOff>
                    <xdr:row>11</xdr:row>
                    <xdr:rowOff>57150</xdr:rowOff>
                  </from>
                  <to>
                    <xdr:col>1</xdr:col>
                    <xdr:colOff>2190750</xdr:colOff>
                    <xdr:row>12</xdr:row>
                    <xdr:rowOff>276225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7"/>
  <sheetViews>
    <sheetView zoomScale="115" zoomScaleNormal="115" workbookViewId="0">
      <selection activeCell="F9" sqref="F9"/>
    </sheetView>
  </sheetViews>
  <sheetFormatPr defaultColWidth="9.140625" defaultRowHeight="15"/>
  <cols>
    <col min="1" max="1" width="4.42578125" customWidth="1"/>
    <col min="2" max="2" width="32.42578125" customWidth="1"/>
    <col min="3" max="3" width="30.42578125" customWidth="1"/>
    <col min="4" max="4" width="8.140625" customWidth="1"/>
    <col min="5" max="5" width="25.7109375" customWidth="1"/>
    <col min="6" max="6" width="18.5703125" customWidth="1"/>
    <col min="7" max="7" width="21" hidden="1" customWidth="1"/>
    <col min="8" max="8" width="12.85546875" hidden="1" customWidth="1"/>
    <col min="9" max="9" width="18" hidden="1" customWidth="1"/>
    <col min="10" max="10" width="14" hidden="1" customWidth="1"/>
    <col min="11" max="11" width="18.7109375" customWidth="1"/>
    <col min="12" max="14" width="8.7109375" customWidth="1"/>
  </cols>
  <sheetData>
    <row r="1" spans="1:10" ht="30" customHeight="1">
      <c r="A1" s="124" t="s">
        <v>81</v>
      </c>
      <c r="B1" s="88"/>
      <c r="C1" s="88"/>
      <c r="D1" s="88"/>
      <c r="E1" s="89"/>
      <c r="H1" s="108" t="s">
        <v>109</v>
      </c>
      <c r="I1" s="108"/>
      <c r="J1" s="13">
        <v>7</v>
      </c>
    </row>
    <row r="2" spans="1:10" ht="30" customHeight="1">
      <c r="A2" s="90"/>
      <c r="B2" s="91"/>
      <c r="C2" s="91"/>
      <c r="D2" s="91"/>
      <c r="E2" s="92"/>
    </row>
    <row r="3" spans="1:10" ht="30" customHeight="1">
      <c r="A3" s="90"/>
      <c r="B3" s="91"/>
      <c r="C3" s="91"/>
      <c r="D3" s="91"/>
      <c r="E3" s="92"/>
    </row>
    <row r="4" spans="1:10" ht="30" customHeight="1">
      <c r="A4" s="90"/>
      <c r="B4" s="91"/>
      <c r="C4" s="91"/>
      <c r="D4" s="91"/>
      <c r="E4" s="92"/>
    </row>
    <row r="5" spans="1:10" ht="14.65" customHeight="1">
      <c r="A5" s="90"/>
      <c r="B5" s="91"/>
      <c r="C5" s="91"/>
      <c r="D5" s="91"/>
      <c r="E5" s="92"/>
    </row>
    <row r="6" spans="1:10" ht="14.65" customHeight="1">
      <c r="A6" s="90"/>
      <c r="B6" s="91"/>
      <c r="C6" s="91"/>
      <c r="D6" s="91"/>
      <c r="E6" s="92"/>
    </row>
    <row r="7" spans="1:10" ht="15" customHeight="1" thickBot="1">
      <c r="A7" s="93"/>
      <c r="B7" s="94"/>
      <c r="C7" s="94"/>
      <c r="D7" s="94"/>
      <c r="E7" s="95"/>
      <c r="G7" s="1" t="s">
        <v>95</v>
      </c>
      <c r="H7" s="1" t="s">
        <v>92</v>
      </c>
      <c r="I7" s="1" t="s">
        <v>93</v>
      </c>
      <c r="J7" s="1" t="s">
        <v>94</v>
      </c>
    </row>
    <row r="8" spans="1:10" ht="30" customHeight="1">
      <c r="A8" s="97">
        <v>1</v>
      </c>
      <c r="B8" s="111" t="s">
        <v>114</v>
      </c>
      <c r="C8" s="112"/>
      <c r="D8" s="112"/>
      <c r="E8" s="113"/>
      <c r="G8" s="1" t="s">
        <v>96</v>
      </c>
      <c r="H8" s="12">
        <v>10.9</v>
      </c>
      <c r="I8" s="12">
        <f>B10*C10/1000000*H8+E10/1000</f>
        <v>3.2919999999999998</v>
      </c>
      <c r="J8" s="13" t="s">
        <v>4</v>
      </c>
    </row>
    <row r="9" spans="1:10" ht="18" customHeight="1">
      <c r="A9" s="97"/>
      <c r="B9" s="23" t="s">
        <v>125</v>
      </c>
      <c r="C9" s="24" t="s">
        <v>116</v>
      </c>
      <c r="D9" s="109" t="s">
        <v>0</v>
      </c>
      <c r="E9" s="21" t="s">
        <v>117</v>
      </c>
      <c r="G9" s="1" t="s">
        <v>97</v>
      </c>
      <c r="H9" s="12">
        <v>12.2</v>
      </c>
      <c r="I9" s="12">
        <f>B10*C10/1000000*H9+E10/1000</f>
        <v>3.6819999999999995</v>
      </c>
      <c r="J9" s="12">
        <f>IF(J1=2,I9,J10)</f>
        <v>3.6219999999999994</v>
      </c>
    </row>
    <row r="10" spans="1:10" ht="27" customHeight="1" thickBot="1">
      <c r="A10" s="98"/>
      <c r="B10" s="9">
        <v>600</v>
      </c>
      <c r="C10" s="10">
        <v>500</v>
      </c>
      <c r="D10" s="110"/>
      <c r="E10" s="11">
        <v>22</v>
      </c>
      <c r="G10" s="1" t="s">
        <v>98</v>
      </c>
      <c r="H10" s="12">
        <v>12.1</v>
      </c>
      <c r="I10" s="12">
        <f>B10*C10/1000000*H10+E10/1000</f>
        <v>3.6519999999999997</v>
      </c>
      <c r="J10" s="12">
        <f>IF(J1=3,I10,J11)</f>
        <v>3.6219999999999994</v>
      </c>
    </row>
    <row r="11" spans="1:10" ht="30" customHeight="1">
      <c r="A11" s="96">
        <v>2</v>
      </c>
      <c r="B11" s="99" t="s">
        <v>118</v>
      </c>
      <c r="C11" s="100"/>
      <c r="D11" s="100"/>
      <c r="E11" s="101"/>
      <c r="G11" s="1" t="s">
        <v>99</v>
      </c>
      <c r="H11" s="12">
        <v>14.5</v>
      </c>
      <c r="I11" s="12">
        <f>B10*C10/1000000*H11+E10/1000</f>
        <v>4.3719999999999999</v>
      </c>
      <c r="J11" s="12">
        <f>IF(J1=4,I11,J12)</f>
        <v>3.6219999999999994</v>
      </c>
    </row>
    <row r="12" spans="1:10" ht="23.45" customHeight="1">
      <c r="A12" s="97"/>
      <c r="B12" s="102"/>
      <c r="C12" s="2" t="s">
        <v>103</v>
      </c>
      <c r="D12" s="134" t="s">
        <v>104</v>
      </c>
      <c r="E12" s="135"/>
      <c r="G12" s="1" t="s">
        <v>126</v>
      </c>
      <c r="H12" s="12">
        <v>16.5</v>
      </c>
      <c r="I12" s="12">
        <f>B10*C10/1000000*H12+E10/1000</f>
        <v>4.9720000000000004</v>
      </c>
      <c r="J12" s="12">
        <f>IF(J1=5,I12,J13)</f>
        <v>3.6219999999999994</v>
      </c>
    </row>
    <row r="13" spans="1:10" ht="37.9" customHeight="1" thickBot="1">
      <c r="A13" s="97"/>
      <c r="B13" s="133"/>
      <c r="C13" s="32">
        <f>IF(J1=1,I8,J9)</f>
        <v>3.6219999999999994</v>
      </c>
      <c r="D13" s="136">
        <f>C13*B10</f>
        <v>2173.1999999999998</v>
      </c>
      <c r="E13" s="137"/>
      <c r="F13" s="22"/>
      <c r="G13" s="1" t="s">
        <v>100</v>
      </c>
      <c r="H13" s="12">
        <v>11</v>
      </c>
      <c r="I13" s="12">
        <f>B10*C10/1000000*H13+E10/1000</f>
        <v>3.3219999999999996</v>
      </c>
      <c r="J13" s="12">
        <f>IF(J1=6,I13,J14)</f>
        <v>3.6219999999999994</v>
      </c>
    </row>
    <row r="14" spans="1:10" ht="25.15" customHeight="1">
      <c r="A14" s="76">
        <v>3</v>
      </c>
      <c r="B14" s="127" t="s">
        <v>130</v>
      </c>
      <c r="C14" s="41" t="s">
        <v>135</v>
      </c>
      <c r="D14" s="129" t="s">
        <v>136</v>
      </c>
      <c r="E14" s="130"/>
      <c r="F14" s="22"/>
      <c r="G14" s="1" t="s">
        <v>101</v>
      </c>
      <c r="H14" s="12">
        <v>12</v>
      </c>
      <c r="I14" s="12">
        <f>B10*C10/1000000*H14+E10/1000</f>
        <v>3.6219999999999994</v>
      </c>
      <c r="J14" s="12">
        <f>IF(J1=7,I14,J15)</f>
        <v>3.6219999999999994</v>
      </c>
    </row>
    <row r="15" spans="1:10" ht="35.450000000000003" customHeight="1" thickBot="1">
      <c r="A15" s="78"/>
      <c r="B15" s="128"/>
      <c r="C15" s="44" t="str">
        <f>G17</f>
        <v>SE00AH01</v>
      </c>
      <c r="D15" s="131" t="str">
        <f>G18</f>
        <v/>
      </c>
      <c r="E15" s="132"/>
      <c r="G15" s="1" t="s">
        <v>127</v>
      </c>
      <c r="H15" s="12">
        <v>15</v>
      </c>
      <c r="I15" s="12">
        <f>B10*C10/1000000*H15+E10/1000</f>
        <v>4.5220000000000002</v>
      </c>
      <c r="J15" s="12">
        <f>IF(J1=8,I15,J16)</f>
        <v>0</v>
      </c>
    </row>
    <row r="16" spans="1:10" ht="61.9" customHeight="1">
      <c r="A16" s="96">
        <v>4</v>
      </c>
      <c r="B16" s="121" t="s">
        <v>138</v>
      </c>
      <c r="C16" s="122"/>
      <c r="D16" s="122"/>
      <c r="E16" s="123"/>
      <c r="G16" s="1" t="s">
        <v>102</v>
      </c>
      <c r="H16" s="12">
        <v>11.2</v>
      </c>
      <c r="I16" s="12">
        <f>B10*C10/1000000*H16+E10/1000</f>
        <v>3.3819999999999997</v>
      </c>
      <c r="J16" s="12">
        <f>IF(J1=9,I16,J17)</f>
        <v>0</v>
      </c>
    </row>
    <row r="17" spans="1:10" ht="27" customHeight="1">
      <c r="A17" s="97"/>
      <c r="B17" s="27" t="s">
        <v>105</v>
      </c>
      <c r="C17" s="28" t="s">
        <v>123</v>
      </c>
      <c r="D17" s="117" t="s">
        <v>121</v>
      </c>
      <c r="E17" s="118"/>
      <c r="G17" s="29" t="str">
        <f>IF(D13&lt;200,"the door is too small",IF(D13&lt;500,"SE00AL01",IF(D13&lt;960,"SE00AM01",IF(D13&lt;=2350,"SE00AH01",""))))</f>
        <v>SE00AH01</v>
      </c>
    </row>
    <row r="18" spans="1:10" ht="15.6" customHeight="1">
      <c r="A18" s="97"/>
      <c r="B18" s="16" t="s">
        <v>16</v>
      </c>
      <c r="C18" s="5" t="s">
        <v>20</v>
      </c>
      <c r="D18" s="85">
        <v>600</v>
      </c>
      <c r="E18" s="86"/>
      <c r="G18" s="29" t="str">
        <f>IF(D13&gt;4700,"the door is too big, out of range",IF(D13&gt;2350,"2sets of SE00AH01",""))</f>
        <v/>
      </c>
    </row>
    <row r="19" spans="1:10" ht="15.6" customHeight="1">
      <c r="A19" s="97"/>
      <c r="B19" s="16" t="s">
        <v>17</v>
      </c>
      <c r="C19" s="5" t="s">
        <v>19</v>
      </c>
      <c r="D19" s="85">
        <v>1000</v>
      </c>
      <c r="E19" s="86"/>
    </row>
    <row r="20" spans="1:10" ht="15.6" customHeight="1" thickBot="1">
      <c r="A20" s="98"/>
      <c r="B20" s="17" t="s">
        <v>18</v>
      </c>
      <c r="C20" s="6" t="s">
        <v>21</v>
      </c>
      <c r="D20" s="119">
        <v>1655</v>
      </c>
      <c r="E20" s="120"/>
    </row>
    <row r="21" spans="1:10">
      <c r="A21" s="79" t="s">
        <v>106</v>
      </c>
      <c r="B21" s="80"/>
      <c r="C21" s="80"/>
      <c r="D21" s="80"/>
      <c r="E21" s="81"/>
    </row>
    <row r="22" spans="1:10" ht="15.75" thickBot="1">
      <c r="A22" s="82"/>
      <c r="B22" s="83"/>
      <c r="C22" s="83"/>
      <c r="D22" s="83"/>
      <c r="E22" s="84"/>
    </row>
    <row r="23" spans="1:10" ht="30" customHeight="1"/>
    <row r="24" spans="1:10" ht="30" customHeight="1"/>
    <row r="25" spans="1:10" ht="30" customHeight="1" thickBot="1"/>
    <row r="26" spans="1:10" ht="30" customHeight="1">
      <c r="A26" s="124" t="s">
        <v>110</v>
      </c>
      <c r="B26" s="88"/>
      <c r="C26" s="88"/>
      <c r="D26" s="88"/>
      <c r="E26" s="89"/>
      <c r="H26" s="108" t="s">
        <v>109</v>
      </c>
      <c r="I26" s="108"/>
      <c r="J26" s="13">
        <v>6</v>
      </c>
    </row>
    <row r="27" spans="1:10" ht="30" customHeight="1">
      <c r="A27" s="90"/>
      <c r="B27" s="91"/>
      <c r="C27" s="91"/>
      <c r="D27" s="91"/>
      <c r="E27" s="92"/>
    </row>
    <row r="28" spans="1:10" ht="14.65" customHeight="1">
      <c r="A28" s="90"/>
      <c r="B28" s="91"/>
      <c r="C28" s="91"/>
      <c r="D28" s="91"/>
      <c r="E28" s="92"/>
    </row>
    <row r="29" spans="1:10" ht="14.65" customHeight="1">
      <c r="A29" s="90"/>
      <c r="B29" s="91"/>
      <c r="C29" s="91"/>
      <c r="D29" s="91"/>
      <c r="E29" s="92"/>
    </row>
    <row r="30" spans="1:10" ht="15" customHeight="1">
      <c r="A30" s="90"/>
      <c r="B30" s="91"/>
      <c r="C30" s="91"/>
      <c r="D30" s="91"/>
      <c r="E30" s="92"/>
    </row>
    <row r="31" spans="1:10" ht="30" customHeight="1">
      <c r="A31" s="90"/>
      <c r="B31" s="91"/>
      <c r="C31" s="91"/>
      <c r="D31" s="91"/>
      <c r="E31" s="92"/>
    </row>
    <row r="32" spans="1:10" ht="15.75" thickBot="1">
      <c r="A32" s="93"/>
      <c r="B32" s="94"/>
      <c r="C32" s="94"/>
      <c r="D32" s="94"/>
      <c r="E32" s="95"/>
      <c r="G32" s="1" t="s">
        <v>95</v>
      </c>
      <c r="H32" s="1" t="s">
        <v>92</v>
      </c>
      <c r="I32" s="1" t="s">
        <v>93</v>
      </c>
      <c r="J32" s="1" t="s">
        <v>94</v>
      </c>
    </row>
    <row r="33" spans="1:11" ht="30" customHeight="1">
      <c r="A33" s="97">
        <v>1</v>
      </c>
      <c r="B33" s="111" t="s">
        <v>114</v>
      </c>
      <c r="C33" s="112"/>
      <c r="D33" s="112"/>
      <c r="E33" s="113"/>
      <c r="G33" s="1" t="s">
        <v>96</v>
      </c>
      <c r="H33" s="12">
        <v>10.9</v>
      </c>
      <c r="I33" s="12">
        <f>B35*C35/1000000*H33+E35/1000</f>
        <v>3.3029999999999999</v>
      </c>
      <c r="J33" s="13" t="s">
        <v>4</v>
      </c>
    </row>
    <row r="34" spans="1:11" ht="30" customHeight="1">
      <c r="A34" s="97"/>
      <c r="B34" s="23" t="s">
        <v>125</v>
      </c>
      <c r="C34" s="24" t="s">
        <v>116</v>
      </c>
      <c r="D34" s="109" t="s">
        <v>0</v>
      </c>
      <c r="E34" s="21" t="s">
        <v>117</v>
      </c>
      <c r="G34" s="1" t="s">
        <v>97</v>
      </c>
      <c r="H34" s="12">
        <v>12.2</v>
      </c>
      <c r="I34" s="12">
        <f>B35*C35/1000000*H34+E35/1000</f>
        <v>3.6929999999999996</v>
      </c>
      <c r="J34" s="12">
        <f>IF(J26=2,I34,J35)</f>
        <v>3.6329999999999996</v>
      </c>
    </row>
    <row r="35" spans="1:11" ht="21.6" customHeight="1" thickBot="1">
      <c r="A35" s="98"/>
      <c r="B35" s="9">
        <v>600</v>
      </c>
      <c r="C35" s="10">
        <v>500</v>
      </c>
      <c r="D35" s="110"/>
      <c r="E35" s="11">
        <v>33</v>
      </c>
      <c r="G35" s="1" t="s">
        <v>98</v>
      </c>
      <c r="H35" s="12">
        <v>12.1</v>
      </c>
      <c r="I35" s="12">
        <f>B35*C35/1000000*H35+E35/1000</f>
        <v>3.6629999999999998</v>
      </c>
      <c r="J35" s="12">
        <f>IF(J26=3,I35,J36)</f>
        <v>3.6329999999999996</v>
      </c>
    </row>
    <row r="36" spans="1:11" ht="30" customHeight="1">
      <c r="A36" s="96">
        <v>2</v>
      </c>
      <c r="B36" s="99" t="s">
        <v>139</v>
      </c>
      <c r="C36" s="100"/>
      <c r="D36" s="100"/>
      <c r="E36" s="101"/>
      <c r="F36" s="29"/>
      <c r="G36" s="1" t="s">
        <v>99</v>
      </c>
      <c r="H36" s="12">
        <v>14.5</v>
      </c>
      <c r="I36" s="12">
        <f>B35*C35/1000000*H36+E35/1000</f>
        <v>4.383</v>
      </c>
      <c r="J36" s="12">
        <f>IF(J26=4,I36,J37)</f>
        <v>3.6329999999999996</v>
      </c>
      <c r="K36" s="29"/>
    </row>
    <row r="37" spans="1:11" ht="42" customHeight="1">
      <c r="A37" s="97"/>
      <c r="B37" s="102"/>
      <c r="C37" s="2" t="s">
        <v>103</v>
      </c>
      <c r="D37" s="134" t="s">
        <v>104</v>
      </c>
      <c r="E37" s="135"/>
      <c r="F37" s="29"/>
      <c r="G37" s="1" t="s">
        <v>100</v>
      </c>
      <c r="H37" s="12">
        <v>11</v>
      </c>
      <c r="I37" s="12">
        <f>B35*C35/1000000*H37+E35/1000</f>
        <v>3.3329999999999997</v>
      </c>
      <c r="J37" s="12">
        <f>IF(J26=5,I37,J38)</f>
        <v>3.6329999999999996</v>
      </c>
      <c r="K37" s="29"/>
    </row>
    <row r="38" spans="1:11" ht="27.6" customHeight="1" thickBot="1">
      <c r="A38" s="98"/>
      <c r="B38" s="103"/>
      <c r="C38" s="15">
        <f>IF(J26=1,I33,J34)</f>
        <v>3.6329999999999996</v>
      </c>
      <c r="D38" s="125">
        <f>C38*B35</f>
        <v>2179.7999999999997</v>
      </c>
      <c r="E38" s="126"/>
      <c r="G38" s="1" t="s">
        <v>101</v>
      </c>
      <c r="H38" s="12">
        <v>12</v>
      </c>
      <c r="I38" s="12">
        <f>B35*C35/1000000*H38+E35/1000</f>
        <v>3.6329999999999996</v>
      </c>
      <c r="J38" s="12">
        <f>IF(J26=6,I38,J39)</f>
        <v>3.6329999999999996</v>
      </c>
    </row>
    <row r="39" spans="1:11" ht="29.45" customHeight="1">
      <c r="A39" s="76">
        <v>3</v>
      </c>
      <c r="B39" s="127" t="s">
        <v>130</v>
      </c>
      <c r="C39" s="41" t="s">
        <v>135</v>
      </c>
      <c r="D39" s="129" t="s">
        <v>136</v>
      </c>
      <c r="E39" s="130"/>
      <c r="G39" s="1" t="s">
        <v>102</v>
      </c>
      <c r="H39" s="12">
        <v>11.2</v>
      </c>
      <c r="I39" s="12">
        <f>B35*C35/1000000*H39+E35/1000</f>
        <v>3.3929999999999998</v>
      </c>
      <c r="J39" s="12">
        <f>IF(J26=7,I39,J40)</f>
        <v>0</v>
      </c>
    </row>
    <row r="40" spans="1:11" ht="29.45" customHeight="1" thickBot="1">
      <c r="A40" s="78"/>
      <c r="B40" s="128"/>
      <c r="C40" s="44" t="str">
        <f>G40</f>
        <v/>
      </c>
      <c r="D40" s="131" t="str">
        <f>G41</f>
        <v>2sets of SE2FAH01</v>
      </c>
      <c r="E40" s="132"/>
      <c r="G40" s="29" t="str">
        <f>IF(D38&lt;200,"the door is too small",IF(D38&lt;500,"SE2FAL01",IF(D38&lt;960,"SE2FAM01",IF(D38&lt;=2050,"SE2FAH01",""))))</f>
        <v/>
      </c>
    </row>
    <row r="41" spans="1:11" ht="56.45" customHeight="1">
      <c r="A41" s="96">
        <v>4</v>
      </c>
      <c r="B41" s="121" t="s">
        <v>137</v>
      </c>
      <c r="C41" s="122"/>
      <c r="D41" s="122"/>
      <c r="E41" s="123"/>
      <c r="G41" s="29" t="str">
        <f>IF(D38&gt;4100,"the door is too big, out of range",IF(D38&gt;2050,"2sets of SE2FAH01",""))</f>
        <v>2sets of SE2FAH01</v>
      </c>
    </row>
    <row r="42" spans="1:11">
      <c r="A42" s="97"/>
      <c r="B42" s="27" t="s">
        <v>105</v>
      </c>
      <c r="C42" s="28" t="s">
        <v>123</v>
      </c>
      <c r="D42" s="117" t="s">
        <v>121</v>
      </c>
      <c r="E42" s="118"/>
    </row>
    <row r="43" spans="1:11">
      <c r="A43" s="97"/>
      <c r="B43" s="16" t="s">
        <v>68</v>
      </c>
      <c r="C43" s="5" t="s">
        <v>20</v>
      </c>
      <c r="D43" s="85">
        <v>600</v>
      </c>
      <c r="E43" s="86"/>
    </row>
    <row r="44" spans="1:11">
      <c r="A44" s="97"/>
      <c r="B44" s="16" t="s">
        <v>69</v>
      </c>
      <c r="C44" s="5" t="s">
        <v>66</v>
      </c>
      <c r="D44" s="85">
        <v>950</v>
      </c>
      <c r="E44" s="86"/>
    </row>
    <row r="45" spans="1:11" ht="15.75" thickBot="1">
      <c r="A45" s="98"/>
      <c r="B45" s="17" t="s">
        <v>70</v>
      </c>
      <c r="C45" s="6" t="s">
        <v>67</v>
      </c>
      <c r="D45" s="119">
        <v>1505</v>
      </c>
      <c r="E45" s="120"/>
    </row>
    <row r="46" spans="1:11">
      <c r="A46" s="79" t="s">
        <v>106</v>
      </c>
      <c r="B46" s="80"/>
      <c r="C46" s="80"/>
      <c r="D46" s="80"/>
      <c r="E46" s="81"/>
    </row>
    <row r="47" spans="1:11" ht="15.75" thickBot="1">
      <c r="A47" s="82"/>
      <c r="B47" s="83"/>
      <c r="C47" s="83"/>
      <c r="D47" s="83"/>
      <c r="E47" s="84"/>
    </row>
  </sheetData>
  <mergeCells count="42">
    <mergeCell ref="A46:E47"/>
    <mergeCell ref="H26:I26"/>
    <mergeCell ref="A41:A45"/>
    <mergeCell ref="B41:E41"/>
    <mergeCell ref="D42:E42"/>
    <mergeCell ref="D43:E43"/>
    <mergeCell ref="D44:E44"/>
    <mergeCell ref="D45:E45"/>
    <mergeCell ref="A26:E32"/>
    <mergeCell ref="A33:A35"/>
    <mergeCell ref="B33:E33"/>
    <mergeCell ref="D34:D35"/>
    <mergeCell ref="A36:A38"/>
    <mergeCell ref="B36:E36"/>
    <mergeCell ref="B37:B38"/>
    <mergeCell ref="D37:E37"/>
    <mergeCell ref="A11:A13"/>
    <mergeCell ref="B11:E11"/>
    <mergeCell ref="B12:B13"/>
    <mergeCell ref="D12:E12"/>
    <mergeCell ref="D13:E13"/>
    <mergeCell ref="A1:E7"/>
    <mergeCell ref="H1:I1"/>
    <mergeCell ref="A8:A10"/>
    <mergeCell ref="B8:E8"/>
    <mergeCell ref="D9:D10"/>
    <mergeCell ref="A14:A15"/>
    <mergeCell ref="B14:B15"/>
    <mergeCell ref="A39:A40"/>
    <mergeCell ref="B39:B40"/>
    <mergeCell ref="D39:E39"/>
    <mergeCell ref="D40:E40"/>
    <mergeCell ref="D38:E38"/>
    <mergeCell ref="A21:E22"/>
    <mergeCell ref="A16:A20"/>
    <mergeCell ref="B16:E16"/>
    <mergeCell ref="D17:E17"/>
    <mergeCell ref="D18:E18"/>
    <mergeCell ref="D19:E19"/>
    <mergeCell ref="D20:E20"/>
    <mergeCell ref="D14:E14"/>
    <mergeCell ref="D15:E15"/>
  </mergeCells>
  <phoneticPr fontId="14" type="noConversion"/>
  <hyperlinks>
    <hyperlink ref="A21" r:id="rId1" xr:uid="{00000000-0004-0000-0300-000000000000}"/>
    <hyperlink ref="A46" r:id="rId2" xr:uid="{00000000-0004-0000-0300-000001000000}"/>
  </hyperlinks>
  <pageMargins left="0.25" right="0.25" top="0.75" bottom="0.75" header="0.3" footer="0.3"/>
  <pageSetup paperSize="9" orientation="portrait" r:id="rId3"/>
  <drawing r:id="rId4"/>
  <legacyDrawing r:id="rId5"/>
  <oleObjects>
    <mc:AlternateContent xmlns:mc="http://schemas.openxmlformats.org/markup-compatibility/2006">
      <mc:Choice Requires="x14">
        <oleObject progId="CorelDraw.Graphic.18" shapeId="5124" r:id="rId6">
          <objectPr defaultSize="0" autoPict="0" r:id="rId7">
            <anchor moveWithCells="1">
              <from>
                <xdr:col>0</xdr:col>
                <xdr:colOff>152400</xdr:colOff>
                <xdr:row>0</xdr:row>
                <xdr:rowOff>152400</xdr:rowOff>
              </from>
              <to>
                <xdr:col>1</xdr:col>
                <xdr:colOff>1638300</xdr:colOff>
                <xdr:row>2</xdr:row>
                <xdr:rowOff>0</xdr:rowOff>
              </to>
            </anchor>
          </objectPr>
        </oleObject>
      </mc:Choice>
      <mc:Fallback>
        <oleObject progId="CorelDraw.Graphic.18" shapeId="5124" r:id="rId6"/>
      </mc:Fallback>
    </mc:AlternateContent>
    <mc:AlternateContent xmlns:mc="http://schemas.openxmlformats.org/markup-compatibility/2006">
      <mc:Choice Requires="x14">
        <oleObject progId="CorelDraw.Graphic.18" shapeId="5126" r:id="rId8">
          <objectPr defaultSize="0" autoPict="0" r:id="rId7">
            <anchor moveWithCells="1">
              <from>
                <xdr:col>0</xdr:col>
                <xdr:colOff>152400</xdr:colOff>
                <xdr:row>25</xdr:row>
                <xdr:rowOff>152400</xdr:rowOff>
              </from>
              <to>
                <xdr:col>1</xdr:col>
                <xdr:colOff>1638300</xdr:colOff>
                <xdr:row>27</xdr:row>
                <xdr:rowOff>0</xdr:rowOff>
              </to>
            </anchor>
          </objectPr>
        </oleObject>
      </mc:Choice>
      <mc:Fallback>
        <oleObject progId="CorelDraw.Graphic.18" shapeId="5126" r:id="rId8"/>
      </mc:Fallback>
    </mc:AlternateContent>
  </oleObjects>
  <mc:AlternateContent xmlns:mc="http://schemas.openxmlformats.org/markup-compatibility/2006">
    <mc:Choice Requires="x14">
      <controls>
        <mc:AlternateContent xmlns:mc="http://schemas.openxmlformats.org/markup-compatibility/2006">
          <mc:Choice Requires="x14">
            <control shapeId="5121" r:id="rId9" name="Drop Down 1">
              <controlPr defaultSize="0" autoLine="0" autoPict="0">
                <anchor>
                  <from>
                    <xdr:col>1</xdr:col>
                    <xdr:colOff>28575</xdr:colOff>
                    <xdr:row>11</xdr:row>
                    <xdr:rowOff>209550</xdr:rowOff>
                  </from>
                  <to>
                    <xdr:col>1</xdr:col>
                    <xdr:colOff>2190750</xdr:colOff>
                    <xdr:row>12</xdr:row>
                    <xdr:rowOff>371475</xdr:rowOff>
                  </to>
                </anchor>
              </controlPr>
            </control>
          </mc:Choice>
        </mc:AlternateContent>
        <mc:AlternateContent xmlns:mc="http://schemas.openxmlformats.org/markup-compatibility/2006">
          <mc:Choice Requires="x14">
            <control shapeId="5128" r:id="rId10" name="Drop Down 8">
              <controlPr defaultSize="0" autoLine="0" autoPict="0">
                <anchor>
                  <from>
                    <xdr:col>1</xdr:col>
                    <xdr:colOff>38100</xdr:colOff>
                    <xdr:row>36</xdr:row>
                    <xdr:rowOff>180975</xdr:rowOff>
                  </from>
                  <to>
                    <xdr:col>1</xdr:col>
                    <xdr:colOff>2209800</xdr:colOff>
                    <xdr:row>37</xdr:row>
                    <xdr:rowOff>133350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B0552F-93C5-41E6-BDCB-7926BDAFA884}">
  <dimension ref="A1:K38"/>
  <sheetViews>
    <sheetView topLeftCell="A15" zoomScale="115" zoomScaleNormal="115" workbookViewId="0">
      <selection activeCell="A36" sqref="A36:G36"/>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207</v>
      </c>
      <c r="B1" s="88"/>
      <c r="C1" s="88"/>
      <c r="D1" s="88"/>
      <c r="E1" s="89"/>
      <c r="I1" s="108" t="s">
        <v>111</v>
      </c>
      <c r="J1" s="108"/>
      <c r="K1" s="13">
        <v>4</v>
      </c>
    </row>
    <row r="2" spans="1:11" ht="30" customHeight="1">
      <c r="A2" s="90"/>
      <c r="B2" s="91"/>
      <c r="C2" s="91"/>
      <c r="D2" s="91"/>
      <c r="E2" s="92"/>
    </row>
    <row r="3" spans="1:11" ht="30" customHeight="1">
      <c r="A3" s="90"/>
      <c r="B3" s="91"/>
      <c r="C3" s="91"/>
      <c r="D3" s="91"/>
      <c r="E3" s="92"/>
    </row>
    <row r="4" spans="1:11" ht="30" customHeight="1">
      <c r="A4" s="90"/>
      <c r="B4" s="91"/>
      <c r="C4" s="91"/>
      <c r="D4" s="91"/>
      <c r="E4" s="92"/>
    </row>
    <row r="5" spans="1:11" ht="14.65" customHeight="1">
      <c r="A5" s="90"/>
      <c r="B5" s="91"/>
      <c r="C5" s="91"/>
      <c r="D5" s="91"/>
      <c r="E5" s="92"/>
    </row>
    <row r="6" spans="1:11" ht="14.65" customHeight="1">
      <c r="A6" s="90"/>
      <c r="B6" s="91"/>
      <c r="C6" s="91"/>
      <c r="D6" s="91"/>
      <c r="E6" s="92"/>
    </row>
    <row r="7" spans="1:11" ht="15" customHeight="1" thickBot="1">
      <c r="A7" s="93"/>
      <c r="B7" s="94"/>
      <c r="C7" s="94"/>
      <c r="D7" s="94"/>
      <c r="E7" s="95"/>
      <c r="H7" s="1" t="s">
        <v>95</v>
      </c>
      <c r="I7" s="1" t="s">
        <v>92</v>
      </c>
      <c r="J7" s="1" t="s">
        <v>93</v>
      </c>
      <c r="K7" s="1" t="s">
        <v>94</v>
      </c>
    </row>
    <row r="8" spans="1:11" ht="30" customHeight="1">
      <c r="A8" s="97">
        <v>1</v>
      </c>
      <c r="B8" s="111" t="s">
        <v>206</v>
      </c>
      <c r="C8" s="112"/>
      <c r="D8" s="112"/>
      <c r="E8" s="113"/>
      <c r="H8" s="1" t="s">
        <v>96</v>
      </c>
      <c r="I8" s="12">
        <v>10.9</v>
      </c>
      <c r="J8" s="12">
        <f>B10*C10/1000000*I8+E10/1000</f>
        <v>9.2560000000000002</v>
      </c>
      <c r="K8" s="13" t="s">
        <v>4</v>
      </c>
    </row>
    <row r="9" spans="1:11">
      <c r="A9" s="97"/>
      <c r="B9" s="7" t="s">
        <v>205</v>
      </c>
      <c r="C9" s="8" t="s">
        <v>204</v>
      </c>
      <c r="D9" s="109" t="s">
        <v>0</v>
      </c>
      <c r="E9" s="21" t="s">
        <v>90</v>
      </c>
      <c r="H9" s="1" t="s">
        <v>97</v>
      </c>
      <c r="I9" s="12">
        <v>12.2</v>
      </c>
      <c r="J9" s="12">
        <f>B10*C10/1000000*I9+E10/1000</f>
        <v>10.347999999999999</v>
      </c>
      <c r="K9" s="12">
        <f>IF(K1=2,J9,K10)</f>
        <v>12.28</v>
      </c>
    </row>
    <row r="10" spans="1:11" ht="30" customHeight="1" thickBot="1">
      <c r="A10" s="98"/>
      <c r="B10" s="9">
        <v>700</v>
      </c>
      <c r="C10" s="10">
        <v>1200</v>
      </c>
      <c r="D10" s="110"/>
      <c r="E10" s="11">
        <v>100</v>
      </c>
      <c r="H10" s="1" t="s">
        <v>98</v>
      </c>
      <c r="I10" s="12">
        <v>12.1</v>
      </c>
      <c r="J10" s="12">
        <f>B10*C10/1000000*I10+E10/1000</f>
        <v>10.263999999999999</v>
      </c>
      <c r="K10" s="12">
        <f>IF(K1=3,J10,K11)</f>
        <v>12.28</v>
      </c>
    </row>
    <row r="11" spans="1:11" ht="30" customHeight="1">
      <c r="A11" s="96">
        <v>2</v>
      </c>
      <c r="B11" s="121" t="s">
        <v>203</v>
      </c>
      <c r="C11" s="122"/>
      <c r="D11" s="122"/>
      <c r="E11" s="123"/>
      <c r="H11" s="1" t="s">
        <v>99</v>
      </c>
      <c r="I11" s="12">
        <v>14.5</v>
      </c>
      <c r="J11" s="12">
        <f>B10*C10/1000000*I11+E10/1000</f>
        <v>12.28</v>
      </c>
      <c r="K11" s="12">
        <f>IF(K1=4,J11,K12)</f>
        <v>12.28</v>
      </c>
    </row>
    <row r="12" spans="1:11">
      <c r="A12" s="97"/>
      <c r="B12" s="102"/>
      <c r="C12" s="2" t="s">
        <v>199</v>
      </c>
      <c r="D12" s="134" t="s">
        <v>198</v>
      </c>
      <c r="E12" s="135"/>
      <c r="H12" s="1" t="s">
        <v>126</v>
      </c>
      <c r="I12" s="12">
        <v>16.5</v>
      </c>
      <c r="J12" s="12">
        <f>B10*C10/1000000*I12+E10/1000</f>
        <v>13.959999999999999</v>
      </c>
      <c r="K12" s="12">
        <f>IF(K1=5,J12,K13)</f>
        <v>0</v>
      </c>
    </row>
    <row r="13" spans="1:11" ht="30" customHeight="1" thickBot="1">
      <c r="A13" s="98"/>
      <c r="B13" s="103"/>
      <c r="C13" s="18">
        <f>IF(K1=1,J8,K9)</f>
        <v>12.28</v>
      </c>
      <c r="D13" s="125">
        <f>B10</f>
        <v>700</v>
      </c>
      <c r="E13" s="126"/>
      <c r="H13" s="1" t="s">
        <v>100</v>
      </c>
      <c r="I13" s="12">
        <v>11</v>
      </c>
      <c r="J13" s="12">
        <f>B10*C10/1000000*I13+E10/1000</f>
        <v>9.34</v>
      </c>
      <c r="K13" s="12">
        <f>IF(K1=6,J13,K14)</f>
        <v>0</v>
      </c>
    </row>
    <row r="14" spans="1:11" ht="80.099999999999994" customHeight="1" thickBot="1">
      <c r="A14" s="96">
        <v>3</v>
      </c>
      <c r="B14" s="121" t="s">
        <v>202</v>
      </c>
      <c r="C14" s="122"/>
      <c r="D14" s="122"/>
      <c r="E14" s="123"/>
      <c r="F14" s="185" t="s">
        <v>201</v>
      </c>
      <c r="G14" s="184"/>
      <c r="H14" s="36" t="s">
        <v>101</v>
      </c>
      <c r="I14" s="12">
        <v>12</v>
      </c>
      <c r="J14" s="12">
        <f>B10*C10/1000000*I14+E10/1000</f>
        <v>10.18</v>
      </c>
      <c r="K14" s="12">
        <f>IF(K1=7,J14,K15)</f>
        <v>0</v>
      </c>
    </row>
    <row r="15" spans="1:11" ht="33" customHeight="1" thickBot="1">
      <c r="A15" s="97"/>
      <c r="B15" s="3" t="s">
        <v>200</v>
      </c>
      <c r="C15" s="2" t="s">
        <v>199</v>
      </c>
      <c r="D15" s="134" t="s">
        <v>198</v>
      </c>
      <c r="E15" s="135"/>
      <c r="F15" s="50" t="s">
        <v>197</v>
      </c>
      <c r="G15" s="49" t="s">
        <v>196</v>
      </c>
      <c r="H15" s="36" t="s">
        <v>127</v>
      </c>
      <c r="I15" s="12">
        <v>15</v>
      </c>
      <c r="J15" s="12">
        <f>B10*C10/1000000*I15+E10/1000</f>
        <v>12.7</v>
      </c>
      <c r="K15" s="12">
        <f>IF(K1=8,J15,K16)</f>
        <v>0</v>
      </c>
    </row>
    <row r="16" spans="1:11">
      <c r="A16" s="97"/>
      <c r="B16" s="16" t="s">
        <v>26</v>
      </c>
      <c r="C16" s="14" t="s">
        <v>62</v>
      </c>
      <c r="D16" s="85" t="s">
        <v>22</v>
      </c>
      <c r="E16" s="86"/>
      <c r="F16" s="51" t="str">
        <f>H17</f>
        <v/>
      </c>
      <c r="G16" s="45" t="str">
        <f>I17</f>
        <v/>
      </c>
      <c r="H16" s="35" t="s">
        <v>102</v>
      </c>
      <c r="I16" s="30">
        <v>11.2</v>
      </c>
      <c r="J16" s="12">
        <f>B10*C10/1000000*I16+E10/1000</f>
        <v>9.5079999999999991</v>
      </c>
      <c r="K16" s="12">
        <f>IF(K1=9,J16,K17)</f>
        <v>0</v>
      </c>
    </row>
    <row r="17" spans="1:11">
      <c r="A17" s="97"/>
      <c r="B17" s="16" t="s">
        <v>27</v>
      </c>
      <c r="C17" s="14" t="s">
        <v>34</v>
      </c>
      <c r="D17" s="85" t="s">
        <v>22</v>
      </c>
      <c r="E17" s="86"/>
      <c r="F17" s="51" t="str">
        <f>H18</f>
        <v/>
      </c>
      <c r="G17" s="45" t="str">
        <f>I18</f>
        <v/>
      </c>
      <c r="H17" s="47" t="str">
        <f>IF(($C$13&gt;5)*($C$13&lt;9.6)*($D$13&gt;=480)*($D$13&lt;=529),"ST01AL02A","")</f>
        <v/>
      </c>
      <c r="I17" s="48" t="str">
        <f>IF(($C$13&gt;5)*($C$13&lt;9.6)*($D$13&gt;=480)*($D$13&lt;=529),"ST01AL02B","")</f>
        <v/>
      </c>
    </row>
    <row r="18" spans="1:11">
      <c r="A18" s="97"/>
      <c r="B18" s="16" t="s">
        <v>28</v>
      </c>
      <c r="C18" s="14" t="s">
        <v>23</v>
      </c>
      <c r="D18" s="85" t="s">
        <v>25</v>
      </c>
      <c r="E18" s="86"/>
      <c r="F18" s="51" t="str">
        <f>H19</f>
        <v/>
      </c>
      <c r="G18" s="45" t="str">
        <f>I19</f>
        <v/>
      </c>
      <c r="H18" s="47" t="str">
        <f>IF(($C$13&gt;=9.6)*($C$13&lt;16)*($D$13&gt;=480)*($D$13&lt;=529),"ST01AM02A","")</f>
        <v/>
      </c>
      <c r="I18" s="48" t="str">
        <f>IF(($C$13&gt;=9.6)*($C$13&lt;16)*($D$13&gt;=480)*($D$13&lt;=529),"ST01AM02B","")</f>
        <v/>
      </c>
    </row>
    <row r="19" spans="1:11">
      <c r="A19" s="97"/>
      <c r="B19" s="16" t="s">
        <v>29</v>
      </c>
      <c r="C19" s="14" t="s">
        <v>24</v>
      </c>
      <c r="D19" s="85" t="s">
        <v>25</v>
      </c>
      <c r="E19" s="86"/>
      <c r="F19" s="51" t="str">
        <f>H20</f>
        <v/>
      </c>
      <c r="G19" s="45" t="str">
        <f>I20</f>
        <v/>
      </c>
      <c r="H19" s="47" t="str">
        <f>IF(($C$13&gt;4.5)*($C$13&lt;8.7)*($D$13&gt;=530)*($D$13&lt;=589),"ST02AL02A","")</f>
        <v/>
      </c>
      <c r="I19" s="48" t="str">
        <f>IF(($C$13&gt;4.5)*($C$13&lt;8.7)*($D$13&gt;=530)*($D$13&lt;=589),"ST02AL02B","")</f>
        <v/>
      </c>
      <c r="J19" s="22"/>
      <c r="K19" s="22"/>
    </row>
    <row r="20" spans="1:11">
      <c r="A20" s="97"/>
      <c r="B20" s="16" t="s">
        <v>30</v>
      </c>
      <c r="C20" s="14" t="s">
        <v>33</v>
      </c>
      <c r="D20" s="85" t="s">
        <v>32</v>
      </c>
      <c r="E20" s="86"/>
      <c r="F20" s="51" t="str">
        <f>H21</f>
        <v/>
      </c>
      <c r="G20" s="45" t="str">
        <f>I21</f>
        <v/>
      </c>
      <c r="H20" s="47" t="str">
        <f>IF(($C$13&gt;=8.7)*($C$13&lt;14.4)*($D$13&gt;=530)*($D$13&lt;=589),"ST02AM02A","")</f>
        <v/>
      </c>
      <c r="I20" s="48" t="str">
        <f>IF(($C$13&gt;=8.7)*($C$13&lt;14.4)*($D$13&gt;=530)*($D$13&lt;=589),"ST02AM02B","")</f>
        <v/>
      </c>
      <c r="J20" s="22"/>
      <c r="K20" s="22"/>
    </row>
    <row r="21" spans="1:11">
      <c r="A21" s="97"/>
      <c r="B21" s="16" t="s">
        <v>31</v>
      </c>
      <c r="C21" s="14" t="s">
        <v>35</v>
      </c>
      <c r="D21" s="85" t="s">
        <v>32</v>
      </c>
      <c r="E21" s="86"/>
      <c r="F21" s="51" t="str">
        <f>H22</f>
        <v/>
      </c>
      <c r="G21" s="45" t="str">
        <f>I22</f>
        <v/>
      </c>
      <c r="H21" s="47" t="str">
        <f>IF(($C$13&gt;4.1)*($C$13&lt;7.8)*($D$13&gt;=590)*($D$13&lt;=649),"ST03AL02A","")</f>
        <v/>
      </c>
      <c r="I21" s="48" t="str">
        <f>IF(($C$13&gt;4.1)*($C$13&lt;7.8)*($D$13&gt;=590)*($D$13&lt;=649),"ST03AL02B","")</f>
        <v/>
      </c>
      <c r="J21" s="22"/>
      <c r="K21" s="22"/>
    </row>
    <row r="22" spans="1:11">
      <c r="A22" s="97"/>
      <c r="B22" s="16" t="s">
        <v>36</v>
      </c>
      <c r="C22" s="14" t="s">
        <v>39</v>
      </c>
      <c r="D22" s="85" t="s">
        <v>51</v>
      </c>
      <c r="E22" s="86"/>
      <c r="F22" s="51" t="str">
        <f>H23</f>
        <v/>
      </c>
      <c r="G22" s="45" t="str">
        <f>I23</f>
        <v/>
      </c>
      <c r="H22" s="47" t="str">
        <f>IF(($C$13&gt;=7.8)*($C$13&lt;13)*($D$13&gt;=590)*($D$13&lt;=649),"ST03AM02A","")</f>
        <v/>
      </c>
      <c r="I22" s="48" t="str">
        <f>IF(($C$13&gt;=7.8)*($C$13&lt;13)*($D$13&gt;=590)*($D$13&lt;=649),"ST03AM02B","")</f>
        <v/>
      </c>
      <c r="J22" s="22"/>
      <c r="K22" s="22"/>
    </row>
    <row r="23" spans="1:11">
      <c r="A23" s="97"/>
      <c r="B23" s="16" t="s">
        <v>37</v>
      </c>
      <c r="C23" s="14" t="s">
        <v>40</v>
      </c>
      <c r="D23" s="85" t="s">
        <v>51</v>
      </c>
      <c r="E23" s="86"/>
      <c r="F23" s="51" t="str">
        <f>H24</f>
        <v/>
      </c>
      <c r="G23" s="45" t="str">
        <f>I24</f>
        <v/>
      </c>
      <c r="H23" s="47" t="str">
        <f>IF(($C$13&gt;3.7)*($C$13&lt;7)*($D$13&gt;=650)*($D$13&lt;=729),"ST04AL02A","")</f>
        <v/>
      </c>
      <c r="I23" s="48" t="str">
        <f>IF(($C$13&gt;3.7)*($C$13&lt;7)*($D$13&gt;=650)*($D$13&lt;=729),"ST04AL02B","")</f>
        <v/>
      </c>
      <c r="J23" s="22"/>
      <c r="K23" s="22"/>
    </row>
    <row r="24" spans="1:11">
      <c r="A24" s="97"/>
      <c r="B24" s="19" t="s">
        <v>38</v>
      </c>
      <c r="C24" s="14" t="s">
        <v>41</v>
      </c>
      <c r="D24" s="85" t="s">
        <v>51</v>
      </c>
      <c r="E24" s="86"/>
      <c r="F24" s="51" t="str">
        <f>H25</f>
        <v>ST04AH02A</v>
      </c>
      <c r="G24" s="45" t="str">
        <f>I25</f>
        <v>ST04AH02B</v>
      </c>
      <c r="H24" s="47" t="str">
        <f>IF(($C$13&gt;=7)*($C$13&lt;11.5)*($D$13&gt;=650)*($D$13&lt;=729),"ST04AM02A","")</f>
        <v/>
      </c>
      <c r="I24" s="48" t="str">
        <f>IF(($C$13&gt;=7)*($C$13&lt;11.5)*($D$13&gt;=650)*($D$13&lt;=729),"ST04AM02B","")</f>
        <v/>
      </c>
      <c r="J24" s="22"/>
      <c r="K24" s="22"/>
    </row>
    <row r="25" spans="1:11">
      <c r="A25" s="140"/>
      <c r="B25" s="16" t="s">
        <v>42</v>
      </c>
      <c r="C25" s="14" t="s">
        <v>45</v>
      </c>
      <c r="D25" s="85" t="s">
        <v>52</v>
      </c>
      <c r="E25" s="86"/>
      <c r="F25" s="51" t="str">
        <f>H26</f>
        <v/>
      </c>
      <c r="G25" s="45" t="str">
        <f>I26</f>
        <v/>
      </c>
      <c r="H25" s="47" t="str">
        <f>IF(($C$13&gt;=11.5)*($C$13&lt;19.8)*($D$13&gt;=650)*($D$13&lt;=729),"ST04AH02A","")</f>
        <v>ST04AH02A</v>
      </c>
      <c r="I25" s="48" t="str">
        <f>IF(($C$13&gt;=11.5)*($C$13&lt;19.8)*($D$13&gt;=650)*($D$13&lt;=729),"ST04AH02B","")</f>
        <v>ST04AH02B</v>
      </c>
      <c r="J25" s="22"/>
      <c r="K25" s="22"/>
    </row>
    <row r="26" spans="1:11">
      <c r="A26" s="97"/>
      <c r="B26" s="16" t="s">
        <v>43</v>
      </c>
      <c r="C26" s="14" t="s">
        <v>46</v>
      </c>
      <c r="D26" s="85" t="s">
        <v>52</v>
      </c>
      <c r="E26" s="86"/>
      <c r="F26" s="51" t="str">
        <f>H27</f>
        <v/>
      </c>
      <c r="G26" s="45" t="str">
        <f>I27</f>
        <v/>
      </c>
      <c r="H26" s="47" t="str">
        <f>IF(($C$13&gt;3.2)*($C$13&lt;6.3)*($D$13&gt;=730)*($D$13&lt;=799),"ST05AL02A","")</f>
        <v/>
      </c>
      <c r="I26" s="48" t="str">
        <f>IF(($C$13&gt;3.2)*($C$13&lt;6.3)*($D$13&gt;=730)*($D$13&lt;=799),"ST05AL02B","")</f>
        <v/>
      </c>
      <c r="J26" s="22"/>
      <c r="K26" s="22"/>
    </row>
    <row r="27" spans="1:11">
      <c r="A27" s="97"/>
      <c r="B27" s="19" t="s">
        <v>44</v>
      </c>
      <c r="C27" s="14" t="s">
        <v>47</v>
      </c>
      <c r="D27" s="85" t="s">
        <v>52</v>
      </c>
      <c r="E27" s="86"/>
      <c r="F27" s="51" t="str">
        <f>H28</f>
        <v/>
      </c>
      <c r="G27" s="45" t="str">
        <f>I28</f>
        <v/>
      </c>
      <c r="H27" s="47" t="str">
        <f>IF(($C$13&gt;=6.3)*($C$13&lt;10.5)*($D$13&gt;=730)*($D$13&lt;=799),"ST05AM02A","")</f>
        <v/>
      </c>
      <c r="I27" s="48" t="str">
        <f>IF(($C$13&gt;=6.3)*($C$13&lt;10.5)*($D$13&gt;=730)*($D$13&lt;=799),"ST05AM02B","")</f>
        <v/>
      </c>
    </row>
    <row r="28" spans="1:11">
      <c r="A28" s="97"/>
      <c r="B28" s="16" t="s">
        <v>48</v>
      </c>
      <c r="C28" s="14" t="s">
        <v>63</v>
      </c>
      <c r="D28" s="85" t="s">
        <v>53</v>
      </c>
      <c r="E28" s="86"/>
      <c r="F28" s="51" t="str">
        <f>H29</f>
        <v/>
      </c>
      <c r="G28" s="45" t="str">
        <f>I29</f>
        <v/>
      </c>
      <c r="H28" s="47" t="str">
        <f>IF(($C$13&gt;=10.5)*($C$13&lt;18.1)*($D$13&gt;=730)*($D$13&lt;=799),"ST05AH02A","")</f>
        <v/>
      </c>
      <c r="I28" s="48" t="str">
        <f>IF(($C$13&gt;=10.5)*($C$13&lt;18.1)*($D$13&gt;=730)*($D$13&lt;=799),"ST05AH02B","")</f>
        <v/>
      </c>
    </row>
    <row r="29" spans="1:11">
      <c r="A29" s="97"/>
      <c r="B29" s="19" t="s">
        <v>49</v>
      </c>
      <c r="C29" s="14" t="s">
        <v>50</v>
      </c>
      <c r="D29" s="85" t="s">
        <v>53</v>
      </c>
      <c r="E29" s="86"/>
      <c r="F29" s="51" t="str">
        <f>H30</f>
        <v/>
      </c>
      <c r="G29" s="45" t="str">
        <f>I30</f>
        <v/>
      </c>
      <c r="H29" s="47" t="str">
        <f>IF(($C$13&gt;5.8)*($C$13&lt;9.5)*($D$13&gt;=800)*($D$13&lt;=879),"ST06AM02A","")</f>
        <v/>
      </c>
      <c r="I29" s="48" t="str">
        <f>IF(($C$13&gt;5.8)*($C$13&lt;9.5)*($D$13&gt;=800)*($D$13&lt;=879),"ST06AM02B","")</f>
        <v/>
      </c>
    </row>
    <row r="30" spans="1:11">
      <c r="A30" s="97"/>
      <c r="B30" s="16" t="s">
        <v>54</v>
      </c>
      <c r="C30" s="14" t="s">
        <v>56</v>
      </c>
      <c r="D30" s="85" t="s">
        <v>58</v>
      </c>
      <c r="E30" s="86"/>
      <c r="F30" s="51" t="str">
        <f>H31</f>
        <v/>
      </c>
      <c r="G30" s="45" t="str">
        <f>I31</f>
        <v/>
      </c>
      <c r="H30" s="47" t="str">
        <f>IF(($C$13&gt;=9.5)*($C$13&lt;16.5)*($D$13&gt;=800)*($D$13&lt;=879),"ST06AH02A","")</f>
        <v/>
      </c>
      <c r="I30" s="48" t="str">
        <f>IF(($C$13&gt;=9.5)*($C$13&lt;16.5)*($D$13&gt;=800)*($D$13&lt;=879),"ST06AH02B","")</f>
        <v/>
      </c>
    </row>
    <row r="31" spans="1:11">
      <c r="A31" s="97"/>
      <c r="B31" s="19" t="s">
        <v>55</v>
      </c>
      <c r="C31" s="14" t="s">
        <v>57</v>
      </c>
      <c r="D31" s="85" t="s">
        <v>58</v>
      </c>
      <c r="E31" s="86"/>
      <c r="F31" s="51" t="str">
        <f>H32</f>
        <v/>
      </c>
      <c r="G31" s="45" t="str">
        <f>I32</f>
        <v/>
      </c>
      <c r="H31" s="47" t="str">
        <f>IF(($C$13&gt;5.2)*($C$13&lt;8.7)*($D$13&gt;=880)*($D$13&lt;=959),"ST07AM02A","")</f>
        <v/>
      </c>
      <c r="I31" s="48" t="str">
        <f>IF(($C$13&gt;5.2)*($C$13&lt;8.7)*($D$13&gt;=880)*($D$13&lt;=959),"ST07AM02B","")</f>
        <v/>
      </c>
    </row>
    <row r="32" spans="1:11">
      <c r="A32" s="97"/>
      <c r="B32" s="19" t="s">
        <v>64</v>
      </c>
      <c r="C32" s="14" t="s">
        <v>65</v>
      </c>
      <c r="D32" s="85" t="s">
        <v>61</v>
      </c>
      <c r="E32" s="86"/>
      <c r="F32" s="51" t="str">
        <f>H33</f>
        <v/>
      </c>
      <c r="G32" s="45" t="str">
        <f>I33</f>
        <v/>
      </c>
      <c r="H32" s="47" t="str">
        <f>IF(($C$13&gt;=8.7)*($C$13&lt;15.1)*($D$13&gt;=880)*($D$13&lt;=959),"ST07AH02A","")</f>
        <v/>
      </c>
      <c r="I32" s="48" t="str">
        <f>IF(($C$13&gt;=8.7)*($C$13&lt;15.1)*($D$13&gt;=880)*($D$13&lt;=959),"ST07AH02B","")</f>
        <v/>
      </c>
    </row>
    <row r="33" spans="1:9" ht="15.75" thickBot="1">
      <c r="A33" s="97"/>
      <c r="B33" s="19" t="s">
        <v>59</v>
      </c>
      <c r="C33" s="14" t="s">
        <v>60</v>
      </c>
      <c r="D33" s="85" t="s">
        <v>61</v>
      </c>
      <c r="E33" s="86"/>
      <c r="F33" s="52" t="str">
        <f>H34</f>
        <v/>
      </c>
      <c r="G33" s="46" t="str">
        <f>I34</f>
        <v/>
      </c>
      <c r="H33" s="47" t="str">
        <f>IF(($C$13&gt;4.8)*($C$13&lt;8)*($D$13&gt;=960)*($D$13&lt;=1040),"ST08AM02A","")</f>
        <v/>
      </c>
      <c r="I33" s="48" t="str">
        <f>IF(($C$13&gt;4.8)*($C$13&lt;8)*($D$13&gt;=960)*($D$13&lt;=1040),"ST08AM02B","")</f>
        <v/>
      </c>
    </row>
    <row r="34" spans="1:9">
      <c r="A34" s="79" t="s">
        <v>106</v>
      </c>
      <c r="B34" s="80"/>
      <c r="C34" s="80"/>
      <c r="D34" s="80"/>
      <c r="E34" s="81"/>
      <c r="H34" s="47" t="str">
        <f>IF(($C$13&gt;=8)*($C$13&lt;13.9)*($D$13&gt;=960)*($D$13&lt;=1040),"ST08AH02A","")</f>
        <v/>
      </c>
      <c r="I34" s="48" t="str">
        <f>IF(($C$13&gt;=8)*($C$13&lt;13.9)*($D$13&gt;=960)*($D$13&lt;=1040),"ST08AH02B","")</f>
        <v/>
      </c>
    </row>
    <row r="35" spans="1:9" ht="15.75" thickBot="1">
      <c r="A35" s="82"/>
      <c r="B35" s="83"/>
      <c r="C35" s="83"/>
      <c r="D35" s="83"/>
      <c r="E35" s="84"/>
      <c r="I35" s="22"/>
    </row>
    <row r="36" spans="1:9" ht="44.25" customHeight="1">
      <c r="A36" s="183" t="s">
        <v>195</v>
      </c>
      <c r="B36" s="182"/>
      <c r="C36" s="182"/>
      <c r="D36" s="182"/>
      <c r="E36" s="182"/>
      <c r="F36" s="182"/>
      <c r="G36" s="182"/>
    </row>
    <row r="37" spans="1:9" ht="42.75" customHeight="1">
      <c r="A37" s="181"/>
    </row>
    <row r="38" spans="1:9" ht="42.75" customHeight="1">
      <c r="D38" s="22"/>
    </row>
  </sheetData>
  <mergeCells count="34">
    <mergeCell ref="A36:G36"/>
    <mergeCell ref="D16:E16"/>
    <mergeCell ref="D29:E29"/>
    <mergeCell ref="D26:E26"/>
    <mergeCell ref="D27:E27"/>
    <mergeCell ref="D28:E28"/>
    <mergeCell ref="D24:E24"/>
    <mergeCell ref="D25:E25"/>
    <mergeCell ref="A14:A33"/>
    <mergeCell ref="B14:E14"/>
    <mergeCell ref="D33:E33"/>
    <mergeCell ref="D31:E31"/>
    <mergeCell ref="D15:E15"/>
    <mergeCell ref="D30:E30"/>
    <mergeCell ref="F14:G14"/>
    <mergeCell ref="D32:E32"/>
    <mergeCell ref="A34:E35"/>
    <mergeCell ref="D17:E17"/>
    <mergeCell ref="D18:E18"/>
    <mergeCell ref="D19:E19"/>
    <mergeCell ref="D20:E20"/>
    <mergeCell ref="D21:E21"/>
    <mergeCell ref="D22:E22"/>
    <mergeCell ref="D23:E23"/>
    <mergeCell ref="I1:J1"/>
    <mergeCell ref="A8:A10"/>
    <mergeCell ref="B8:E8"/>
    <mergeCell ref="D9:D10"/>
    <mergeCell ref="A11:A13"/>
    <mergeCell ref="B11:E11"/>
    <mergeCell ref="B12:B13"/>
    <mergeCell ref="D12:E12"/>
    <mergeCell ref="D13:E13"/>
    <mergeCell ref="A1:E7"/>
  </mergeCells>
  <hyperlinks>
    <hyperlink ref="A34" r:id="rId1" xr:uid="{7DF2BEDB-849E-481E-BAA9-A7CF457C3DDD}"/>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13314"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13314" r:id="rId5"/>
      </mc:Fallback>
    </mc:AlternateContent>
  </oleObjects>
  <mc:AlternateContent xmlns:mc="http://schemas.openxmlformats.org/markup-compatibility/2006">
    <mc:Choice Requires="x14">
      <controls>
        <mc:AlternateContent xmlns:mc="http://schemas.openxmlformats.org/markup-compatibility/2006">
          <mc:Choice Requires="x14">
            <control shapeId="13313"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7"/>
  <sheetViews>
    <sheetView tabSelected="1" topLeftCell="A15" zoomScale="115" zoomScaleNormal="115" workbookViewId="0">
      <selection activeCell="F39" sqref="F39"/>
    </sheetView>
  </sheetViews>
  <sheetFormatPr defaultColWidth="9.140625" defaultRowHeight="15"/>
  <cols>
    <col min="1" max="1" width="4.42578125" customWidth="1"/>
    <col min="2" max="2" width="32.42578125" customWidth="1"/>
    <col min="3" max="3" width="30.42578125" customWidth="1"/>
    <col min="4" max="4" width="8.140625" customWidth="1"/>
    <col min="5" max="5" width="23.42578125" customWidth="1"/>
    <col min="6" max="7" width="13.5703125" customWidth="1"/>
    <col min="8" max="8" width="23.42578125" hidden="1" customWidth="1"/>
    <col min="9" max="9" width="14.7109375" hidden="1" customWidth="1"/>
    <col min="10" max="10" width="16.28515625" hidden="1" customWidth="1"/>
    <col min="11" max="11" width="24.42578125" hidden="1" customWidth="1"/>
    <col min="12" max="13" width="13.7109375" customWidth="1"/>
    <col min="14" max="15" width="8.7109375" customWidth="1"/>
  </cols>
  <sheetData>
    <row r="1" spans="1:11" ht="30" customHeight="1">
      <c r="A1" s="124" t="s">
        <v>140</v>
      </c>
      <c r="B1" s="88"/>
      <c r="C1" s="88"/>
      <c r="D1" s="88"/>
      <c r="E1" s="89"/>
      <c r="I1" s="108" t="s">
        <v>111</v>
      </c>
      <c r="J1" s="108"/>
      <c r="K1" s="13">
        <v>4</v>
      </c>
    </row>
    <row r="2" spans="1:11" ht="30" customHeight="1">
      <c r="A2" s="90"/>
      <c r="B2" s="91"/>
      <c r="C2" s="91"/>
      <c r="D2" s="91"/>
      <c r="E2" s="92"/>
    </row>
    <row r="3" spans="1:11" ht="30" customHeight="1">
      <c r="A3" s="90"/>
      <c r="B3" s="91"/>
      <c r="C3" s="91"/>
      <c r="D3" s="91"/>
      <c r="E3" s="92"/>
    </row>
    <row r="4" spans="1:11" ht="30" customHeight="1">
      <c r="A4" s="90"/>
      <c r="B4" s="91"/>
      <c r="C4" s="91"/>
      <c r="D4" s="91"/>
      <c r="E4" s="92"/>
    </row>
    <row r="5" spans="1:11" ht="14.65" customHeight="1">
      <c r="A5" s="90"/>
      <c r="B5" s="91"/>
      <c r="C5" s="91"/>
      <c r="D5" s="91"/>
      <c r="E5" s="92"/>
    </row>
    <row r="6" spans="1:11" ht="14.65" customHeight="1">
      <c r="A6" s="90"/>
      <c r="B6" s="91"/>
      <c r="C6" s="91"/>
      <c r="D6" s="91"/>
      <c r="E6" s="92"/>
    </row>
    <row r="7" spans="1:11" ht="15" customHeight="1" thickBot="1">
      <c r="A7" s="93"/>
      <c r="B7" s="94"/>
      <c r="C7" s="94"/>
      <c r="D7" s="94"/>
      <c r="E7" s="95"/>
      <c r="H7" s="1" t="s">
        <v>95</v>
      </c>
      <c r="I7" s="1" t="s">
        <v>92</v>
      </c>
      <c r="J7" s="1" t="s">
        <v>93</v>
      </c>
      <c r="K7" s="1" t="s">
        <v>94</v>
      </c>
    </row>
    <row r="8" spans="1:11" ht="30" customHeight="1">
      <c r="A8" s="97">
        <v>1</v>
      </c>
      <c r="B8" s="111" t="s">
        <v>147</v>
      </c>
      <c r="C8" s="112"/>
      <c r="D8" s="112"/>
      <c r="E8" s="113"/>
      <c r="H8" s="1" t="s">
        <v>96</v>
      </c>
      <c r="I8" s="12">
        <v>10.9</v>
      </c>
      <c r="J8" s="12">
        <f>B10*C10/1000000*I8+E10/1000</f>
        <v>9.2560000000000002</v>
      </c>
      <c r="K8" s="13" t="s">
        <v>4</v>
      </c>
    </row>
    <row r="9" spans="1:11">
      <c r="A9" s="97"/>
      <c r="B9" s="7" t="s">
        <v>113</v>
      </c>
      <c r="C9" s="8" t="s">
        <v>107</v>
      </c>
      <c r="D9" s="109" t="s">
        <v>0</v>
      </c>
      <c r="E9" s="21" t="s">
        <v>90</v>
      </c>
      <c r="H9" s="1" t="s">
        <v>97</v>
      </c>
      <c r="I9" s="12">
        <v>12.2</v>
      </c>
      <c r="J9" s="12">
        <f>B10*C10/1000000*I9+E10/1000</f>
        <v>10.347999999999999</v>
      </c>
      <c r="K9" s="12">
        <f>IF(K1=2,J9,K10)</f>
        <v>12.28</v>
      </c>
    </row>
    <row r="10" spans="1:11" ht="30" customHeight="1" thickBot="1">
      <c r="A10" s="98"/>
      <c r="B10" s="9">
        <v>700</v>
      </c>
      <c r="C10" s="10">
        <v>1200</v>
      </c>
      <c r="D10" s="110"/>
      <c r="E10" s="11">
        <v>100</v>
      </c>
      <c r="H10" s="1" t="s">
        <v>98</v>
      </c>
      <c r="I10" s="12">
        <v>12.1</v>
      </c>
      <c r="J10" s="12">
        <f>B10*C10/1000000*I10+E10/1000</f>
        <v>10.263999999999999</v>
      </c>
      <c r="K10" s="12">
        <f>IF(K1=3,J10,K11)</f>
        <v>12.28</v>
      </c>
    </row>
    <row r="11" spans="1:11" ht="30" customHeight="1">
      <c r="A11" s="96">
        <v>2</v>
      </c>
      <c r="B11" s="99" t="s">
        <v>148</v>
      </c>
      <c r="C11" s="100"/>
      <c r="D11" s="100"/>
      <c r="E11" s="101"/>
      <c r="H11" s="1" t="s">
        <v>99</v>
      </c>
      <c r="I11" s="12">
        <v>14.5</v>
      </c>
      <c r="J11" s="12">
        <f>B10*C10/1000000*I11+E10/1000</f>
        <v>12.28</v>
      </c>
      <c r="K11" s="12">
        <f>IF(K1=4,J11,K12)</f>
        <v>12.28</v>
      </c>
    </row>
    <row r="12" spans="1:11">
      <c r="A12" s="97"/>
      <c r="B12" s="102"/>
      <c r="C12" s="2" t="s">
        <v>103</v>
      </c>
      <c r="D12" s="134" t="s">
        <v>112</v>
      </c>
      <c r="E12" s="135"/>
      <c r="H12" s="1" t="s">
        <v>126</v>
      </c>
      <c r="I12" s="12">
        <v>16.5</v>
      </c>
      <c r="J12" s="12">
        <f>B10*C10/1000000*I12+E10/1000</f>
        <v>13.959999999999999</v>
      </c>
      <c r="K12" s="12">
        <f>IF(K1=5,J12,K13)</f>
        <v>0</v>
      </c>
    </row>
    <row r="13" spans="1:11" ht="30" customHeight="1" thickBot="1">
      <c r="A13" s="98"/>
      <c r="B13" s="103"/>
      <c r="C13" s="18">
        <f>IF(K1=1,J8,K9)</f>
        <v>12.28</v>
      </c>
      <c r="D13" s="125">
        <f>B10</f>
        <v>700</v>
      </c>
      <c r="E13" s="126"/>
      <c r="H13" s="1" t="s">
        <v>100</v>
      </c>
      <c r="I13" s="12">
        <v>11</v>
      </c>
      <c r="J13" s="12">
        <f>B10*C10/1000000*I13+E10/1000</f>
        <v>9.34</v>
      </c>
      <c r="K13" s="12">
        <f>IF(K1=6,J13,K14)</f>
        <v>0</v>
      </c>
    </row>
    <row r="14" spans="1:11" ht="80.099999999999994" customHeight="1" thickBot="1">
      <c r="A14" s="96">
        <v>3</v>
      </c>
      <c r="B14" s="121" t="s">
        <v>149</v>
      </c>
      <c r="C14" s="122"/>
      <c r="D14" s="122"/>
      <c r="E14" s="123"/>
      <c r="F14" s="138" t="s">
        <v>146</v>
      </c>
      <c r="G14" s="139"/>
      <c r="H14" s="36" t="s">
        <v>101</v>
      </c>
      <c r="I14" s="12">
        <v>12</v>
      </c>
      <c r="J14" s="12">
        <f>B10*C10/1000000*I14+E10/1000</f>
        <v>10.18</v>
      </c>
      <c r="K14" s="12">
        <f>IF(K1=7,J14,K15)</f>
        <v>0</v>
      </c>
    </row>
    <row r="15" spans="1:11" ht="33" customHeight="1" thickBot="1">
      <c r="A15" s="97"/>
      <c r="B15" s="3" t="s">
        <v>105</v>
      </c>
      <c r="C15" s="2" t="s">
        <v>103</v>
      </c>
      <c r="D15" s="134" t="s">
        <v>112</v>
      </c>
      <c r="E15" s="135"/>
      <c r="F15" s="50" t="s">
        <v>141</v>
      </c>
      <c r="G15" s="49" t="s">
        <v>129</v>
      </c>
      <c r="H15" s="36" t="s">
        <v>127</v>
      </c>
      <c r="I15" s="12">
        <v>15</v>
      </c>
      <c r="J15" s="12">
        <f>B10*C10/1000000*I15+E10/1000</f>
        <v>12.7</v>
      </c>
      <c r="K15" s="12">
        <f>IF(K1=8,J15,K16)</f>
        <v>0</v>
      </c>
    </row>
    <row r="16" spans="1:11">
      <c r="A16" s="97"/>
      <c r="B16" s="16" t="s">
        <v>26</v>
      </c>
      <c r="C16" s="14" t="s">
        <v>62</v>
      </c>
      <c r="D16" s="85" t="s">
        <v>22</v>
      </c>
      <c r="E16" s="86"/>
      <c r="F16" s="51" t="str">
        <f>H17</f>
        <v/>
      </c>
      <c r="G16" s="45" t="str">
        <f>I17</f>
        <v/>
      </c>
      <c r="H16" s="35" t="s">
        <v>102</v>
      </c>
      <c r="I16" s="30">
        <v>11.2</v>
      </c>
      <c r="J16" s="12">
        <f>B10*C10/1000000*I16+E10/1000</f>
        <v>9.5079999999999991</v>
      </c>
      <c r="K16" s="12">
        <f>IF(K1=9,J16,K17)</f>
        <v>0</v>
      </c>
    </row>
    <row r="17" spans="1:11">
      <c r="A17" s="97"/>
      <c r="B17" s="16" t="s">
        <v>27</v>
      </c>
      <c r="C17" s="14" t="s">
        <v>34</v>
      </c>
      <c r="D17" s="85" t="s">
        <v>22</v>
      </c>
      <c r="E17" s="86"/>
      <c r="F17" s="51" t="str">
        <f t="shared" ref="F17:F33" si="0">H18</f>
        <v/>
      </c>
      <c r="G17" s="45" t="str">
        <f t="shared" ref="G17:G33" si="1">I18</f>
        <v/>
      </c>
      <c r="H17" s="47" t="str">
        <f>IF(($C$13&gt;5)*($C$13&lt;9.6)*($D$13&gt;=480)*($D$13&lt;=529),"ST01AL02A","")</f>
        <v/>
      </c>
      <c r="I17" s="48" t="str">
        <f>IF(($C$13&gt;5)*($C$13&lt;9.6)*($D$13&gt;=480)*($D$13&lt;=529),"ST01AL02B","")</f>
        <v/>
      </c>
    </row>
    <row r="18" spans="1:11">
      <c r="A18" s="97"/>
      <c r="B18" s="16" t="s">
        <v>28</v>
      </c>
      <c r="C18" s="14" t="s">
        <v>23</v>
      </c>
      <c r="D18" s="85" t="s">
        <v>25</v>
      </c>
      <c r="E18" s="86"/>
      <c r="F18" s="51" t="str">
        <f t="shared" si="0"/>
        <v/>
      </c>
      <c r="G18" s="45" t="str">
        <f t="shared" si="1"/>
        <v/>
      </c>
      <c r="H18" s="47" t="str">
        <f>IF(($C$13&gt;=9.6)*($C$13&lt;16)*($D$13&gt;=480)*($D$13&lt;=529),"ST01AM02A","")</f>
        <v/>
      </c>
      <c r="I18" s="48" t="str">
        <f>IF(($C$13&gt;=9.6)*($C$13&lt;16)*($D$13&gt;=480)*($D$13&lt;=529),"ST01AM02B","")</f>
        <v/>
      </c>
    </row>
    <row r="19" spans="1:11">
      <c r="A19" s="97"/>
      <c r="B19" s="16" t="s">
        <v>29</v>
      </c>
      <c r="C19" s="14" t="s">
        <v>24</v>
      </c>
      <c r="D19" s="85" t="s">
        <v>25</v>
      </c>
      <c r="E19" s="86"/>
      <c r="F19" s="51" t="str">
        <f t="shared" si="0"/>
        <v/>
      </c>
      <c r="G19" s="45" t="str">
        <f t="shared" si="1"/>
        <v/>
      </c>
      <c r="H19" s="47" t="str">
        <f>IF(($C$13&gt;4.5)*($C$13&lt;8.7)*($D$13&gt;=530)*($D$13&lt;=589),"ST02AL02A","")</f>
        <v/>
      </c>
      <c r="I19" s="48" t="str">
        <f>IF(($C$13&gt;4.5)*($C$13&lt;8.7)*($D$13&gt;=530)*($D$13&lt;=589),"ST02AL02B","")</f>
        <v/>
      </c>
      <c r="J19" s="22"/>
      <c r="K19" s="22"/>
    </row>
    <row r="20" spans="1:11">
      <c r="A20" s="97"/>
      <c r="B20" s="16" t="s">
        <v>30</v>
      </c>
      <c r="C20" s="14" t="s">
        <v>33</v>
      </c>
      <c r="D20" s="85" t="s">
        <v>32</v>
      </c>
      <c r="E20" s="86"/>
      <c r="F20" s="51" t="str">
        <f t="shared" si="0"/>
        <v/>
      </c>
      <c r="G20" s="45" t="str">
        <f t="shared" si="1"/>
        <v/>
      </c>
      <c r="H20" s="47" t="str">
        <f>IF(($C$13&gt;=8.7)*($C$13&lt;14.4)*($D$13&gt;=530)*($D$13&lt;=589),"ST02AM02A","")</f>
        <v/>
      </c>
      <c r="I20" s="48" t="str">
        <f>IF(($C$13&gt;=8.7)*($C$13&lt;14.4)*($D$13&gt;=530)*($D$13&lt;=589),"ST02AM02B","")</f>
        <v/>
      </c>
      <c r="J20" s="22"/>
      <c r="K20" s="22"/>
    </row>
    <row r="21" spans="1:11">
      <c r="A21" s="97"/>
      <c r="B21" s="16" t="s">
        <v>31</v>
      </c>
      <c r="C21" s="14" t="s">
        <v>35</v>
      </c>
      <c r="D21" s="85" t="s">
        <v>32</v>
      </c>
      <c r="E21" s="86"/>
      <c r="F21" s="51" t="str">
        <f t="shared" si="0"/>
        <v/>
      </c>
      <c r="G21" s="45" t="str">
        <f t="shared" si="1"/>
        <v/>
      </c>
      <c r="H21" s="47" t="str">
        <f>IF(($C$13&gt;4.1)*($C$13&lt;7.8)*($D$13&gt;=590)*($D$13&lt;=649),"ST03AL02A","")</f>
        <v/>
      </c>
      <c r="I21" s="48" t="str">
        <f>IF(($C$13&gt;4.1)*($C$13&lt;7.8)*($D$13&gt;=590)*($D$13&lt;=649),"ST03AL02B","")</f>
        <v/>
      </c>
      <c r="J21" s="22"/>
      <c r="K21" s="22"/>
    </row>
    <row r="22" spans="1:11">
      <c r="A22" s="97"/>
      <c r="B22" s="16" t="s">
        <v>36</v>
      </c>
      <c r="C22" s="14" t="s">
        <v>39</v>
      </c>
      <c r="D22" s="85" t="s">
        <v>51</v>
      </c>
      <c r="E22" s="86"/>
      <c r="F22" s="51" t="str">
        <f t="shared" si="0"/>
        <v/>
      </c>
      <c r="G22" s="45" t="str">
        <f t="shared" si="1"/>
        <v/>
      </c>
      <c r="H22" s="47" t="str">
        <f>IF(($C$13&gt;=7.8)*($C$13&lt;13)*($D$13&gt;=590)*($D$13&lt;=649),"ST03AM02A","")</f>
        <v/>
      </c>
      <c r="I22" s="48" t="str">
        <f>IF(($C$13&gt;=7.8)*($C$13&lt;13)*($D$13&gt;=590)*($D$13&lt;=649),"ST03AM02B","")</f>
        <v/>
      </c>
      <c r="J22" s="22"/>
      <c r="K22" s="22"/>
    </row>
    <row r="23" spans="1:11">
      <c r="A23" s="97"/>
      <c r="B23" s="16" t="s">
        <v>37</v>
      </c>
      <c r="C23" s="14" t="s">
        <v>40</v>
      </c>
      <c r="D23" s="85" t="s">
        <v>51</v>
      </c>
      <c r="E23" s="86"/>
      <c r="F23" s="51" t="str">
        <f t="shared" si="0"/>
        <v/>
      </c>
      <c r="G23" s="45" t="str">
        <f t="shared" si="1"/>
        <v/>
      </c>
      <c r="H23" s="47" t="str">
        <f>IF(($C$13&gt;3.7)*($C$13&lt;7)*($D$13&gt;=650)*($D$13&lt;=729),"ST04AL02A","")</f>
        <v/>
      </c>
      <c r="I23" s="48" t="str">
        <f>IF(($C$13&gt;3.7)*($C$13&lt;7)*($D$13&gt;=650)*($D$13&lt;=729),"ST04AL02B","")</f>
        <v/>
      </c>
      <c r="J23" s="22"/>
      <c r="K23" s="22"/>
    </row>
    <row r="24" spans="1:11">
      <c r="A24" s="97"/>
      <c r="B24" s="19" t="s">
        <v>38</v>
      </c>
      <c r="C24" s="14" t="s">
        <v>41</v>
      </c>
      <c r="D24" s="85" t="s">
        <v>51</v>
      </c>
      <c r="E24" s="86"/>
      <c r="F24" s="51" t="str">
        <f t="shared" si="0"/>
        <v>ST04AH02A</v>
      </c>
      <c r="G24" s="45" t="str">
        <f t="shared" si="1"/>
        <v>ST04AH02B</v>
      </c>
      <c r="H24" s="47" t="str">
        <f>IF(($C$13&gt;=7)*($C$13&lt;11.5)*($D$13&gt;=650)*($D$13&lt;=729),"ST04AM02A","")</f>
        <v/>
      </c>
      <c r="I24" s="48" t="str">
        <f>IF(($C$13&gt;=7)*($C$13&lt;11.5)*($D$13&gt;=650)*($D$13&lt;=729),"ST04AM02B","")</f>
        <v/>
      </c>
      <c r="J24" s="22"/>
      <c r="K24" s="22"/>
    </row>
    <row r="25" spans="1:11">
      <c r="A25" s="140"/>
      <c r="B25" s="16" t="s">
        <v>42</v>
      </c>
      <c r="C25" s="14" t="s">
        <v>45</v>
      </c>
      <c r="D25" s="85" t="s">
        <v>52</v>
      </c>
      <c r="E25" s="86"/>
      <c r="F25" s="51" t="str">
        <f t="shared" si="0"/>
        <v/>
      </c>
      <c r="G25" s="45" t="str">
        <f t="shared" si="1"/>
        <v/>
      </c>
      <c r="H25" s="47" t="str">
        <f>IF(($C$13&gt;=11.5)*($C$13&lt;19.8)*($D$13&gt;=650)*($D$13&lt;=729),"ST04AH02A","")</f>
        <v>ST04AH02A</v>
      </c>
      <c r="I25" s="48" t="str">
        <f>IF(($C$13&gt;=11.5)*($C$13&lt;19.8)*($D$13&gt;=650)*($D$13&lt;=729),"ST04AH02B","")</f>
        <v>ST04AH02B</v>
      </c>
      <c r="J25" s="22"/>
      <c r="K25" s="22"/>
    </row>
    <row r="26" spans="1:11">
      <c r="A26" s="97"/>
      <c r="B26" s="16" t="s">
        <v>43</v>
      </c>
      <c r="C26" s="14" t="s">
        <v>46</v>
      </c>
      <c r="D26" s="85" t="s">
        <v>52</v>
      </c>
      <c r="E26" s="86"/>
      <c r="F26" s="51" t="str">
        <f t="shared" si="0"/>
        <v/>
      </c>
      <c r="G26" s="45" t="str">
        <f t="shared" si="1"/>
        <v/>
      </c>
      <c r="H26" s="47" t="str">
        <f>IF(($C$13&gt;3.2)*($C$13&lt;6.3)*($D$13&gt;=730)*($D$13&lt;=799),"ST05AL02A","")</f>
        <v/>
      </c>
      <c r="I26" s="48" t="str">
        <f>IF(($C$13&gt;3.2)*($C$13&lt;6.3)*($D$13&gt;=730)*($D$13&lt;=799),"ST05AL02B","")</f>
        <v/>
      </c>
      <c r="J26" s="22"/>
      <c r="K26" s="22"/>
    </row>
    <row r="27" spans="1:11">
      <c r="A27" s="97"/>
      <c r="B27" s="19" t="s">
        <v>44</v>
      </c>
      <c r="C27" s="14" t="s">
        <v>47</v>
      </c>
      <c r="D27" s="85" t="s">
        <v>52</v>
      </c>
      <c r="E27" s="86"/>
      <c r="F27" s="51" t="str">
        <f t="shared" si="0"/>
        <v/>
      </c>
      <c r="G27" s="45" t="str">
        <f t="shared" si="1"/>
        <v/>
      </c>
      <c r="H27" s="47" t="str">
        <f>IF(($C$13&gt;=6.3)*($C$13&lt;10.5)*($D$13&gt;=730)*($D$13&lt;=799),"ST05AM02A","")</f>
        <v/>
      </c>
      <c r="I27" s="48" t="str">
        <f>IF(($C$13&gt;=6.3)*($C$13&lt;10.5)*($D$13&gt;=730)*($D$13&lt;=799),"ST05AM02B","")</f>
        <v/>
      </c>
    </row>
    <row r="28" spans="1:11">
      <c r="A28" s="97"/>
      <c r="B28" s="16" t="s">
        <v>48</v>
      </c>
      <c r="C28" s="14" t="s">
        <v>63</v>
      </c>
      <c r="D28" s="85" t="s">
        <v>53</v>
      </c>
      <c r="E28" s="86"/>
      <c r="F28" s="51" t="str">
        <f t="shared" si="0"/>
        <v/>
      </c>
      <c r="G28" s="45" t="str">
        <f t="shared" si="1"/>
        <v/>
      </c>
      <c r="H28" s="47" t="str">
        <f>IF(($C$13&gt;=10.5)*($C$13&lt;18.1)*($D$13&gt;=730)*($D$13&lt;=799),"ST05AH02A","")</f>
        <v/>
      </c>
      <c r="I28" s="48" t="str">
        <f>IF(($C$13&gt;=10.5)*($C$13&lt;18.1)*($D$13&gt;=730)*($D$13&lt;=799),"ST05AH02B","")</f>
        <v/>
      </c>
    </row>
    <row r="29" spans="1:11">
      <c r="A29" s="97"/>
      <c r="B29" s="19" t="s">
        <v>49</v>
      </c>
      <c r="C29" s="14" t="s">
        <v>50</v>
      </c>
      <c r="D29" s="85" t="s">
        <v>53</v>
      </c>
      <c r="E29" s="86"/>
      <c r="F29" s="51" t="str">
        <f t="shared" si="0"/>
        <v/>
      </c>
      <c r="G29" s="45" t="str">
        <f t="shared" si="1"/>
        <v/>
      </c>
      <c r="H29" s="47" t="str">
        <f>IF(($C$13&gt;5.8)*($C$13&lt;9.5)*($D$13&gt;=800)*($D$13&lt;=879),"ST06AM02A","")</f>
        <v/>
      </c>
      <c r="I29" s="48" t="str">
        <f>IF(($C$13&gt;5.8)*($C$13&lt;9.5)*($D$13&gt;=800)*($D$13&lt;=879),"ST06AM02B","")</f>
        <v/>
      </c>
    </row>
    <row r="30" spans="1:11">
      <c r="A30" s="97"/>
      <c r="B30" s="16" t="s">
        <v>54</v>
      </c>
      <c r="C30" s="14" t="s">
        <v>56</v>
      </c>
      <c r="D30" s="85" t="s">
        <v>58</v>
      </c>
      <c r="E30" s="86"/>
      <c r="F30" s="51" t="str">
        <f t="shared" si="0"/>
        <v/>
      </c>
      <c r="G30" s="45" t="str">
        <f t="shared" si="1"/>
        <v/>
      </c>
      <c r="H30" s="47" t="str">
        <f>IF(($C$13&gt;=9.5)*($C$13&lt;16.5)*($D$13&gt;=800)*($D$13&lt;=879),"ST06AH02A","")</f>
        <v/>
      </c>
      <c r="I30" s="48" t="str">
        <f>IF(($C$13&gt;=9.5)*($C$13&lt;16.5)*($D$13&gt;=800)*($D$13&lt;=879),"ST06AH02B","")</f>
        <v/>
      </c>
    </row>
    <row r="31" spans="1:11">
      <c r="A31" s="97"/>
      <c r="B31" s="19" t="s">
        <v>55</v>
      </c>
      <c r="C31" s="14" t="s">
        <v>57</v>
      </c>
      <c r="D31" s="85" t="s">
        <v>58</v>
      </c>
      <c r="E31" s="86"/>
      <c r="F31" s="51" t="str">
        <f t="shared" si="0"/>
        <v/>
      </c>
      <c r="G31" s="45" t="str">
        <f t="shared" si="1"/>
        <v/>
      </c>
      <c r="H31" s="47" t="str">
        <f>IF(($C$13&gt;5.2)*($C$13&lt;8.7)*($D$13&gt;=880)*($D$13&lt;=959),"ST07AM02A","")</f>
        <v/>
      </c>
      <c r="I31" s="48" t="str">
        <f>IF(($C$13&gt;5.2)*($C$13&lt;8.7)*($D$13&gt;=880)*($D$13&lt;=959),"ST07AM02B","")</f>
        <v/>
      </c>
    </row>
    <row r="32" spans="1:11">
      <c r="A32" s="97"/>
      <c r="B32" s="19" t="s">
        <v>64</v>
      </c>
      <c r="C32" s="14" t="s">
        <v>65</v>
      </c>
      <c r="D32" s="85" t="s">
        <v>61</v>
      </c>
      <c r="E32" s="86"/>
      <c r="F32" s="51" t="str">
        <f t="shared" si="0"/>
        <v/>
      </c>
      <c r="G32" s="45" t="str">
        <f t="shared" si="1"/>
        <v/>
      </c>
      <c r="H32" s="47" t="str">
        <f>IF(($C$13&gt;=8.7)*($C$13&lt;15.1)*($D$13&gt;=880)*($D$13&lt;=959),"ST07AH02A","")</f>
        <v/>
      </c>
      <c r="I32" s="48" t="str">
        <f>IF(($C$13&gt;=8.7)*($C$13&lt;15.1)*($D$13&gt;=880)*($D$13&lt;=959),"ST07AH02B","")</f>
        <v/>
      </c>
    </row>
    <row r="33" spans="1:9" ht="15.75" thickBot="1">
      <c r="A33" s="97"/>
      <c r="B33" s="19" t="s">
        <v>59</v>
      </c>
      <c r="C33" s="14" t="s">
        <v>60</v>
      </c>
      <c r="D33" s="85" t="s">
        <v>61</v>
      </c>
      <c r="E33" s="86"/>
      <c r="F33" s="52" t="str">
        <f t="shared" si="0"/>
        <v/>
      </c>
      <c r="G33" s="46" t="str">
        <f t="shared" si="1"/>
        <v/>
      </c>
      <c r="H33" s="47" t="str">
        <f>IF(($C$13&gt;4.8)*($C$13&lt;8)*($D$13&gt;=960)*($D$13&lt;=1040),"ST08AM02A","")</f>
        <v/>
      </c>
      <c r="I33" s="48" t="str">
        <f>IF(($C$13&gt;4.8)*($C$13&lt;8)*($D$13&gt;=960)*($D$13&lt;=1040),"ST08AM02B","")</f>
        <v/>
      </c>
    </row>
    <row r="34" spans="1:9">
      <c r="A34" s="79" t="s">
        <v>106</v>
      </c>
      <c r="B34" s="80"/>
      <c r="C34" s="80"/>
      <c r="D34" s="80"/>
      <c r="E34" s="81"/>
      <c r="H34" s="47" t="str">
        <f>IF(($C$13&gt;=8)*($C$13&lt;13.9)*($D$13&gt;=960)*($D$13&lt;=1040),"ST08AH02A","")</f>
        <v/>
      </c>
      <c r="I34" s="48" t="str">
        <f>IF(($C$13&gt;=8)*($C$13&lt;13.9)*($D$13&gt;=960)*($D$13&lt;=1040),"ST08AH02B","")</f>
        <v/>
      </c>
    </row>
    <row r="35" spans="1:9" ht="15.75" thickBot="1">
      <c r="A35" s="82"/>
      <c r="B35" s="83"/>
      <c r="C35" s="83"/>
      <c r="D35" s="83"/>
      <c r="E35" s="84"/>
      <c r="I35" s="22"/>
    </row>
    <row r="36" spans="1:9" ht="44.25" customHeight="1">
      <c r="B36" s="141" t="s">
        <v>194</v>
      </c>
      <c r="C36" s="142"/>
      <c r="D36" s="142"/>
      <c r="E36" s="142"/>
      <c r="F36" s="142"/>
      <c r="G36" s="142"/>
      <c r="I36" s="22"/>
    </row>
    <row r="37" spans="1:9">
      <c r="I37" s="22"/>
    </row>
  </sheetData>
  <mergeCells count="34">
    <mergeCell ref="B36:G36"/>
    <mergeCell ref="I1:J1"/>
    <mergeCell ref="A8:A10"/>
    <mergeCell ref="B8:E8"/>
    <mergeCell ref="D9:D10"/>
    <mergeCell ref="A11:A13"/>
    <mergeCell ref="B11:E11"/>
    <mergeCell ref="B12:B13"/>
    <mergeCell ref="D12:E12"/>
    <mergeCell ref="D13:E13"/>
    <mergeCell ref="D33:E33"/>
    <mergeCell ref="D31:E31"/>
    <mergeCell ref="A1:E7"/>
    <mergeCell ref="D26:E26"/>
    <mergeCell ref="D27:E27"/>
    <mergeCell ref="D28:E28"/>
    <mergeCell ref="D32:E32"/>
    <mergeCell ref="A34:E35"/>
    <mergeCell ref="D17:E17"/>
    <mergeCell ref="D18:E18"/>
    <mergeCell ref="D19:E19"/>
    <mergeCell ref="D20:E20"/>
    <mergeCell ref="D21:E21"/>
    <mergeCell ref="D22:E22"/>
    <mergeCell ref="D23:E23"/>
    <mergeCell ref="D24:E24"/>
    <mergeCell ref="D25:E25"/>
    <mergeCell ref="A14:A33"/>
    <mergeCell ref="B14:E14"/>
    <mergeCell ref="D15:E15"/>
    <mergeCell ref="D30:E30"/>
    <mergeCell ref="D16:E16"/>
    <mergeCell ref="D29:E29"/>
    <mergeCell ref="F14:G14"/>
  </mergeCells>
  <phoneticPr fontId="14" type="noConversion"/>
  <hyperlinks>
    <hyperlink ref="A34" r:id="rId1" xr:uid="{00000000-0004-0000-0400-000000000000}"/>
  </hyperlinks>
  <pageMargins left="0.25" right="0.25" top="0.75" bottom="0.75" header="0.3" footer="0.3"/>
  <pageSetup paperSize="9" orientation="portrait" r:id="rId2"/>
  <drawing r:id="rId3"/>
  <legacyDrawing r:id="rId4"/>
  <oleObjects>
    <mc:AlternateContent xmlns:mc="http://schemas.openxmlformats.org/markup-compatibility/2006">
      <mc:Choice Requires="x14">
        <oleObject progId="CorelDraw.Graphic.18" shapeId="6146" r:id="rId5">
          <objectPr defaultSize="0" autoPict="0" r:id="rId6">
            <anchor moveWithCells="1">
              <from>
                <xdr:col>0</xdr:col>
                <xdr:colOff>152400</xdr:colOff>
                <xdr:row>0</xdr:row>
                <xdr:rowOff>161925</xdr:rowOff>
              </from>
              <to>
                <xdr:col>1</xdr:col>
                <xdr:colOff>1638300</xdr:colOff>
                <xdr:row>2</xdr:row>
                <xdr:rowOff>19050</xdr:rowOff>
              </to>
            </anchor>
          </objectPr>
        </oleObject>
      </mc:Choice>
      <mc:Fallback>
        <oleObject progId="CorelDraw.Graphic.18" shapeId="6146" r:id="rId5"/>
      </mc:Fallback>
    </mc:AlternateContent>
  </oleObjects>
  <mc:AlternateContent xmlns:mc="http://schemas.openxmlformats.org/markup-compatibility/2006">
    <mc:Choice Requires="x14">
      <controls>
        <mc:AlternateContent xmlns:mc="http://schemas.openxmlformats.org/markup-compatibility/2006">
          <mc:Choice Requires="x14">
            <control shapeId="6145" r:id="rId7" name="Drop Down 1">
              <controlPr defaultSize="0" autoLine="0" autoPict="0">
                <anchor>
                  <from>
                    <xdr:col>1</xdr:col>
                    <xdr:colOff>85725</xdr:colOff>
                    <xdr:row>11</xdr:row>
                    <xdr:rowOff>66675</xdr:rowOff>
                  </from>
                  <to>
                    <xdr:col>2</xdr:col>
                    <xdr:colOff>0</xdr:colOff>
                    <xdr:row>13</xdr:row>
                    <xdr:rowOff>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3606FA-70CC-4DB5-A90A-86035DCB6D3E}">
  <dimension ref="A1:L41"/>
  <sheetViews>
    <sheetView topLeftCell="A14" workbookViewId="0">
      <selection activeCell="D13" sqref="D13:E13"/>
    </sheetView>
  </sheetViews>
  <sheetFormatPr defaultColWidth="9.140625" defaultRowHeight="15"/>
  <cols>
    <col min="1" max="1" width="4.7109375" customWidth="1"/>
    <col min="2" max="2" width="37.7109375" customWidth="1"/>
    <col min="3" max="3" width="25.7109375" customWidth="1"/>
    <col min="4" max="4" width="7.7109375" customWidth="1"/>
    <col min="5" max="5" width="21.28515625" customWidth="1"/>
    <col min="6" max="7" width="25.7109375" customWidth="1"/>
    <col min="8" max="8" width="13.140625" customWidth="1"/>
    <col min="9" max="9" width="18.28515625" hidden="1" customWidth="1"/>
    <col min="10" max="10" width="13.85546875" hidden="1" customWidth="1"/>
    <col min="11" max="11" width="19.140625" hidden="1" customWidth="1"/>
    <col min="12" max="12" width="16.7109375" hidden="1" customWidth="1"/>
    <col min="13" max="14" width="13.7109375" customWidth="1"/>
    <col min="15" max="16" width="8.7109375" customWidth="1"/>
  </cols>
  <sheetData>
    <row r="1" spans="1:12" ht="19.899999999999999" customHeight="1">
      <c r="A1" s="124" t="s">
        <v>152</v>
      </c>
      <c r="B1" s="88"/>
      <c r="C1" s="88"/>
      <c r="D1" s="88"/>
      <c r="E1" s="88"/>
      <c r="F1" s="88"/>
      <c r="G1" s="89"/>
      <c r="J1" s="108" t="s">
        <v>180</v>
      </c>
      <c r="K1" s="108"/>
      <c r="L1" s="13">
        <v>2</v>
      </c>
    </row>
    <row r="2" spans="1:12" ht="19.899999999999999" customHeight="1">
      <c r="A2" s="90"/>
      <c r="B2" s="91"/>
      <c r="C2" s="91"/>
      <c r="D2" s="91"/>
      <c r="E2" s="91"/>
      <c r="F2" s="91"/>
      <c r="G2" s="92"/>
    </row>
    <row r="3" spans="1:12" ht="19.899999999999999" customHeight="1">
      <c r="A3" s="90"/>
      <c r="B3" s="91"/>
      <c r="C3" s="91"/>
      <c r="D3" s="91"/>
      <c r="E3" s="91"/>
      <c r="F3" s="91"/>
      <c r="G3" s="92"/>
    </row>
    <row r="4" spans="1:12" ht="19.899999999999999" customHeight="1">
      <c r="A4" s="90"/>
      <c r="B4" s="91"/>
      <c r="C4" s="91"/>
      <c r="D4" s="91"/>
      <c r="E4" s="91"/>
      <c r="F4" s="91"/>
      <c r="G4" s="92"/>
    </row>
    <row r="5" spans="1:12" ht="19.899999999999999" customHeight="1">
      <c r="A5" s="90"/>
      <c r="B5" s="91"/>
      <c r="C5" s="91"/>
      <c r="D5" s="91"/>
      <c r="E5" s="91"/>
      <c r="F5" s="91"/>
      <c r="G5" s="92"/>
    </row>
    <row r="6" spans="1:12" ht="19.899999999999999" customHeight="1">
      <c r="A6" s="90"/>
      <c r="B6" s="91"/>
      <c r="C6" s="91"/>
      <c r="D6" s="91"/>
      <c r="E6" s="91"/>
      <c r="F6" s="91"/>
      <c r="G6" s="92"/>
    </row>
    <row r="7" spans="1:12" ht="19.899999999999999" customHeight="1" thickBot="1">
      <c r="A7" s="90"/>
      <c r="B7" s="91"/>
      <c r="C7" s="91"/>
      <c r="D7" s="91"/>
      <c r="E7" s="91"/>
      <c r="F7" s="91"/>
      <c r="G7" s="92"/>
      <c r="I7" s="1" t="s">
        <v>95</v>
      </c>
      <c r="J7" s="1" t="s">
        <v>92</v>
      </c>
      <c r="K7" s="1" t="s">
        <v>93</v>
      </c>
      <c r="L7" s="1" t="s">
        <v>94</v>
      </c>
    </row>
    <row r="8" spans="1:12" ht="30" customHeight="1">
      <c r="A8" s="164">
        <v>1</v>
      </c>
      <c r="B8" s="167" t="s">
        <v>176</v>
      </c>
      <c r="C8" s="167"/>
      <c r="D8" s="167"/>
      <c r="E8" s="167"/>
      <c r="F8" s="167"/>
      <c r="G8" s="168"/>
      <c r="I8" s="1" t="s">
        <v>96</v>
      </c>
      <c r="J8" s="12">
        <v>10.9</v>
      </c>
      <c r="K8" s="12">
        <f>B10*C10/1000000*J8+E10/1000</f>
        <v>2.7749999999999999</v>
      </c>
      <c r="L8" s="13" t="s">
        <v>4</v>
      </c>
    </row>
    <row r="9" spans="1:12" ht="19.899999999999999" customHeight="1">
      <c r="A9" s="165"/>
      <c r="B9" s="53" t="s">
        <v>173</v>
      </c>
      <c r="C9" s="53" t="s">
        <v>174</v>
      </c>
      <c r="D9" s="175" t="s">
        <v>0</v>
      </c>
      <c r="E9" s="68" t="s">
        <v>175</v>
      </c>
      <c r="F9" s="177"/>
      <c r="G9" s="178"/>
      <c r="I9" s="1" t="s">
        <v>97</v>
      </c>
      <c r="J9" s="12">
        <v>12.2</v>
      </c>
      <c r="K9" s="12">
        <f>B10*C10/1000000*J9+E10/1000</f>
        <v>3.0999999999999996</v>
      </c>
      <c r="L9" s="12">
        <f>IF(L1=2,K9,L10)</f>
        <v>3.0999999999999996</v>
      </c>
    </row>
    <row r="10" spans="1:12" ht="30" customHeight="1" thickBot="1">
      <c r="A10" s="166"/>
      <c r="B10" s="69">
        <v>500</v>
      </c>
      <c r="C10" s="69">
        <v>500</v>
      </c>
      <c r="D10" s="176"/>
      <c r="E10" s="69">
        <v>50</v>
      </c>
      <c r="F10" s="179"/>
      <c r="G10" s="180"/>
      <c r="I10" s="1" t="s">
        <v>98</v>
      </c>
      <c r="J10" s="12">
        <v>12.1</v>
      </c>
      <c r="K10" s="12">
        <f>B10*C10/1000000*J10+E10/1000</f>
        <v>3.0749999999999997</v>
      </c>
      <c r="L10" s="12">
        <f>IF(L1=3,K10,L11)</f>
        <v>0</v>
      </c>
    </row>
    <row r="11" spans="1:12" ht="40.15" customHeight="1">
      <c r="A11" s="164">
        <v>2</v>
      </c>
      <c r="B11" s="167" t="s">
        <v>177</v>
      </c>
      <c r="C11" s="167"/>
      <c r="D11" s="167"/>
      <c r="E11" s="167"/>
      <c r="F11" s="167"/>
      <c r="G11" s="168"/>
      <c r="I11" s="1" t="s">
        <v>99</v>
      </c>
      <c r="J11" s="12">
        <v>14.5</v>
      </c>
      <c r="K11" s="12">
        <f>B10*C10/1000000*J11+E10/1000</f>
        <v>3.6749999999999998</v>
      </c>
      <c r="L11" s="12">
        <f>IF(L1=4,K11,L12)</f>
        <v>0</v>
      </c>
    </row>
    <row r="12" spans="1:12" ht="19.899999999999999" customHeight="1">
      <c r="A12" s="165"/>
      <c r="B12" s="169"/>
      <c r="C12" s="53" t="s">
        <v>103</v>
      </c>
      <c r="D12" s="158" t="s">
        <v>112</v>
      </c>
      <c r="E12" s="158"/>
      <c r="F12" s="158"/>
      <c r="G12" s="171"/>
      <c r="I12" s="1" t="s">
        <v>126</v>
      </c>
      <c r="J12" s="12">
        <v>16.5</v>
      </c>
      <c r="K12" s="12">
        <f>B10*C10/1000000*J12+E10/1000</f>
        <v>4.1749999999999998</v>
      </c>
      <c r="L12" s="12">
        <f>IF(L1=5,K12,L13)</f>
        <v>0</v>
      </c>
    </row>
    <row r="13" spans="1:12" ht="19.899999999999999" customHeight="1" thickBot="1">
      <c r="A13" s="166"/>
      <c r="B13" s="170"/>
      <c r="C13" s="54">
        <f>IF(L1=1,K8,L9)</f>
        <v>3.0999999999999996</v>
      </c>
      <c r="D13" s="174">
        <f>B10</f>
        <v>500</v>
      </c>
      <c r="E13" s="174"/>
      <c r="F13" s="172"/>
      <c r="G13" s="173"/>
      <c r="I13" s="1" t="s">
        <v>100</v>
      </c>
      <c r="J13" s="12">
        <v>11</v>
      </c>
      <c r="K13" s="12">
        <f>B10*C10/1000000*J13+E10/1000</f>
        <v>2.8</v>
      </c>
      <c r="L13" s="12">
        <f>IF(L1=6,K13,L14)</f>
        <v>0</v>
      </c>
    </row>
    <row r="14" spans="1:12" ht="60" customHeight="1">
      <c r="A14" s="76">
        <v>3</v>
      </c>
      <c r="B14" s="154" t="s">
        <v>193</v>
      </c>
      <c r="C14" s="154"/>
      <c r="D14" s="154"/>
      <c r="E14" s="154"/>
      <c r="F14" s="154"/>
      <c r="G14" s="155"/>
      <c r="H14" s="55"/>
      <c r="I14" s="1" t="s">
        <v>101</v>
      </c>
      <c r="J14" s="12">
        <v>12</v>
      </c>
      <c r="K14" s="12">
        <f>B10*C10/1000000*J14+E10/1000</f>
        <v>3.05</v>
      </c>
      <c r="L14" s="12">
        <f>IF(L1=7,K14,L15)</f>
        <v>0</v>
      </c>
    </row>
    <row r="15" spans="1:12" ht="33" customHeight="1">
      <c r="A15" s="77"/>
      <c r="B15" s="56" t="s">
        <v>105</v>
      </c>
      <c r="C15" s="53" t="s">
        <v>103</v>
      </c>
      <c r="D15" s="158" t="s">
        <v>112</v>
      </c>
      <c r="E15" s="158"/>
      <c r="F15" s="57" t="s">
        <v>178</v>
      </c>
      <c r="G15" s="58" t="s">
        <v>179</v>
      </c>
      <c r="H15" s="59"/>
      <c r="I15" s="1" t="s">
        <v>127</v>
      </c>
      <c r="J15" s="12">
        <v>15</v>
      </c>
      <c r="K15" s="12">
        <f>B10*C10/1000000*J15+E10/1000</f>
        <v>3.8</v>
      </c>
      <c r="L15" s="12">
        <f>IF(L1=8,K15,L16)</f>
        <v>0</v>
      </c>
    </row>
    <row r="16" spans="1:12" ht="15" customHeight="1">
      <c r="A16" s="77"/>
      <c r="B16" s="60" t="s">
        <v>187</v>
      </c>
      <c r="C16" s="14" t="s">
        <v>153</v>
      </c>
      <c r="D16" s="85" t="s">
        <v>154</v>
      </c>
      <c r="E16" s="85"/>
      <c r="F16" s="61" t="str">
        <f t="shared" ref="F16:G31" si="0">I18</f>
        <v/>
      </c>
      <c r="G16" s="62" t="str">
        <f t="shared" si="0"/>
        <v/>
      </c>
      <c r="H16" s="47"/>
      <c r="I16" s="1" t="s">
        <v>102</v>
      </c>
      <c r="J16" s="12">
        <v>11.2</v>
      </c>
      <c r="K16" s="12">
        <f>B10*C10/1000000*J16+E10/1000</f>
        <v>2.8499999999999996</v>
      </c>
      <c r="L16" s="12">
        <f>IF(L1=9,K16,L18)</f>
        <v>0</v>
      </c>
    </row>
    <row r="17" spans="1:12" ht="15" customHeight="1">
      <c r="A17" s="77"/>
      <c r="B17" s="60" t="s">
        <v>187</v>
      </c>
      <c r="C17" s="14" t="s">
        <v>155</v>
      </c>
      <c r="D17" s="85" t="s">
        <v>156</v>
      </c>
      <c r="E17" s="85"/>
      <c r="F17" s="61" t="str">
        <f t="shared" si="0"/>
        <v/>
      </c>
      <c r="G17" s="62" t="str">
        <f t="shared" si="0"/>
        <v/>
      </c>
      <c r="H17" s="47"/>
      <c r="J17" s="63"/>
      <c r="K17" s="63"/>
      <c r="L17" s="63"/>
    </row>
    <row r="18" spans="1:12" ht="15" customHeight="1">
      <c r="A18" s="77"/>
      <c r="B18" s="60" t="s">
        <v>188</v>
      </c>
      <c r="C18" s="14" t="s">
        <v>157</v>
      </c>
      <c r="D18" s="85" t="s">
        <v>154</v>
      </c>
      <c r="E18" s="85"/>
      <c r="F18" s="61" t="str">
        <f t="shared" si="0"/>
        <v/>
      </c>
      <c r="G18" s="62" t="str">
        <f t="shared" si="0"/>
        <v/>
      </c>
      <c r="H18" s="47"/>
      <c r="I18" s="47" t="str">
        <f>IF(C13&lt;1.3,"the door is too light",IF(($C$13&gt;1.3)*($C$13&lt;4.2)*($D$13&gt;=300)*($D$13&lt;=349),"SK00AD02A",""))</f>
        <v/>
      </c>
      <c r="J18" s="48" t="str">
        <f>IF(C13&lt;1.3," the door is too light",IF(($C$13&gt;1.3)*($C$13&lt;4.2)*($D$13&gt;=300)*($D$13&lt;=349),"SK00AD02B",""))</f>
        <v/>
      </c>
    </row>
    <row r="19" spans="1:12" ht="15" customHeight="1">
      <c r="A19" s="77"/>
      <c r="B19" s="60" t="s">
        <v>188</v>
      </c>
      <c r="C19" s="14" t="s">
        <v>158</v>
      </c>
      <c r="D19" s="85" t="s">
        <v>156</v>
      </c>
      <c r="E19" s="85"/>
      <c r="F19" s="61" t="str">
        <f t="shared" si="0"/>
        <v/>
      </c>
      <c r="G19" s="62" t="str">
        <f t="shared" si="0"/>
        <v/>
      </c>
      <c r="H19" s="47"/>
      <c r="I19" s="47" t="str">
        <f>IF(($C$13&gt;1.5)*($C$13&lt;2.5)*($D$13&gt;=350)*($D$13&lt;=399),"SK00AD02A","")</f>
        <v/>
      </c>
      <c r="J19" s="48" t="str">
        <f>IF(($C$13&gt;1.5)*($C$13&lt;2.5)*($D$13&gt;=350)*($D$13&lt;=399),"SK00AD02B","")</f>
        <v/>
      </c>
    </row>
    <row r="20" spans="1:12" ht="15" customHeight="1">
      <c r="A20" s="77"/>
      <c r="B20" s="60" t="s">
        <v>188</v>
      </c>
      <c r="C20" s="14" t="s">
        <v>159</v>
      </c>
      <c r="D20" s="85" t="s">
        <v>160</v>
      </c>
      <c r="E20" s="85"/>
      <c r="F20" s="61" t="str">
        <f t="shared" si="0"/>
        <v>SK00AL02A</v>
      </c>
      <c r="G20" s="62" t="str">
        <f t="shared" si="0"/>
        <v>SK00AL02B</v>
      </c>
      <c r="H20" s="47"/>
      <c r="I20" s="47" t="str">
        <f>IF(($C$13&gt;3.5)*($C$13&lt;7.2)*($D$13&gt;=300)*($D$13&lt;=349),"SK00AL02A","")</f>
        <v/>
      </c>
      <c r="J20" s="48" t="str">
        <f>IF(($C$13&gt;3.5)*($C$13&lt;7.2)*($D$13&gt;=300)*($D$13&lt;=349),"SK00AL02B","")</f>
        <v/>
      </c>
    </row>
    <row r="21" spans="1:12" ht="15" customHeight="1">
      <c r="A21" s="77"/>
      <c r="B21" s="60" t="s">
        <v>189</v>
      </c>
      <c r="C21" s="14" t="s">
        <v>161</v>
      </c>
      <c r="D21" s="85" t="s">
        <v>154</v>
      </c>
      <c r="E21" s="85"/>
      <c r="F21" s="61" t="str">
        <f t="shared" si="0"/>
        <v/>
      </c>
      <c r="G21" s="62" t="str">
        <f t="shared" si="0"/>
        <v/>
      </c>
      <c r="H21" s="47"/>
      <c r="I21" s="47" t="str">
        <f>IF(($C$13&gt;2.5)*($C$13&lt;5)*($D$13&gt;=350)*($D$13&lt;=399),"SK00AL02A","")</f>
        <v/>
      </c>
      <c r="J21" s="48" t="str">
        <f>IF(($C$13&gt;2.5)*($C$13&lt;5)*($D$13&gt;=350)*($D$13&lt;=399),"SK00AL02B","")</f>
        <v/>
      </c>
    </row>
    <row r="22" spans="1:12" ht="15" customHeight="1">
      <c r="A22" s="77"/>
      <c r="B22" s="60" t="s">
        <v>189</v>
      </c>
      <c r="C22" s="14" t="s">
        <v>162</v>
      </c>
      <c r="D22" s="85" t="s">
        <v>156</v>
      </c>
      <c r="E22" s="85"/>
      <c r="F22" s="61" t="str">
        <f t="shared" si="0"/>
        <v/>
      </c>
      <c r="G22" s="62" t="str">
        <f t="shared" si="0"/>
        <v/>
      </c>
      <c r="H22" s="47"/>
      <c r="I22" s="47" t="str">
        <f>IF(($C$13&gt;2)*($C$13&lt;3.5)*($D$13&gt;=400)*($D$13&lt;=550),"SK00AL02A","")</f>
        <v>SK00AL02A</v>
      </c>
      <c r="J22" s="48" t="str">
        <f>IF(($C$13&gt;2)*($C$13&lt;3.5)*($D$13&gt;=400)*($D$13&lt;=550),"SK00AL02B","")</f>
        <v>SK00AL02B</v>
      </c>
    </row>
    <row r="23" spans="1:12" ht="15" customHeight="1">
      <c r="A23" s="77"/>
      <c r="B23" s="60" t="s">
        <v>189</v>
      </c>
      <c r="C23" s="14" t="s">
        <v>163</v>
      </c>
      <c r="D23" s="85" t="s">
        <v>160</v>
      </c>
      <c r="E23" s="85"/>
      <c r="F23" s="61" t="str">
        <f t="shared" si="0"/>
        <v>SK00AM02A</v>
      </c>
      <c r="G23" s="62" t="str">
        <f t="shared" si="0"/>
        <v>SK00AM02B</v>
      </c>
      <c r="H23" s="47"/>
      <c r="I23" s="47" t="str">
        <f>IF(($C$13&gt;6.5)*($C$13&lt;12)*($D$13&gt;=300)*($D$13&lt;=349),"SK00AM02A","")</f>
        <v/>
      </c>
      <c r="J23" s="48" t="str">
        <f>IF(($C$13&gt;6.5)*($C$13&lt;12)*($D$13&gt;=300)*($D$13&lt;=349),"SK00AM02B","")</f>
        <v/>
      </c>
    </row>
    <row r="24" spans="1:12" ht="15" customHeight="1">
      <c r="A24" s="77"/>
      <c r="B24" s="60" t="s">
        <v>189</v>
      </c>
      <c r="C24" s="14" t="s">
        <v>164</v>
      </c>
      <c r="D24" s="85" t="s">
        <v>165</v>
      </c>
      <c r="E24" s="85"/>
      <c r="F24" s="61" t="str">
        <f t="shared" si="0"/>
        <v>SK00AM02A</v>
      </c>
      <c r="G24" s="62" t="str">
        <f t="shared" si="0"/>
        <v>SK00AM02B</v>
      </c>
      <c r="H24" s="47"/>
      <c r="I24" s="47" t="str">
        <f>IF(($C$13&gt;4.5)*($C$13&lt;9)*($D$13&gt;=350)*($D$13&lt;=399),"SK00AM02A","")</f>
        <v/>
      </c>
      <c r="J24" s="48" t="str">
        <f>IF(($C$13&gt;4.5)*($C$13&lt;9)*($D$13&gt;=350)*($D$13&lt;=399),"SK00AM02B","")</f>
        <v/>
      </c>
    </row>
    <row r="25" spans="1:12" ht="15" customHeight="1">
      <c r="A25" s="77"/>
      <c r="B25" s="60" t="s">
        <v>190</v>
      </c>
      <c r="C25" s="14" t="s">
        <v>166</v>
      </c>
      <c r="D25" s="85" t="s">
        <v>154</v>
      </c>
      <c r="E25" s="85"/>
      <c r="F25" s="61" t="str">
        <f t="shared" si="0"/>
        <v/>
      </c>
      <c r="G25" s="62" t="str">
        <f t="shared" si="0"/>
        <v/>
      </c>
      <c r="H25" s="47"/>
      <c r="I25" s="47" t="str">
        <f>IF(($C$13&gt;2.8)*($C$13&lt;6.5)*($D$13&gt;=400)*($D$13&lt;=550),"SK00AM02A","")</f>
        <v>SK00AM02A</v>
      </c>
      <c r="J25" s="48" t="str">
        <f>IF(($C$13&gt;2.8)*($C$13&lt;6.5)*($D$13&gt;=400)*($D$13&lt;=550),"SK00AM02B","")</f>
        <v>SK00AM02B</v>
      </c>
      <c r="K25" s="22"/>
      <c r="L25" s="22"/>
    </row>
    <row r="26" spans="1:12" ht="15" customHeight="1">
      <c r="A26" s="77"/>
      <c r="B26" s="60" t="s">
        <v>190</v>
      </c>
      <c r="C26" s="14" t="s">
        <v>167</v>
      </c>
      <c r="D26" s="85" t="s">
        <v>156</v>
      </c>
      <c r="E26" s="85"/>
      <c r="F26" s="61" t="str">
        <f t="shared" si="0"/>
        <v/>
      </c>
      <c r="G26" s="62" t="str">
        <f t="shared" si="0"/>
        <v/>
      </c>
      <c r="H26" s="47"/>
      <c r="I26" s="47" t="str">
        <f>IF(($C$13&gt;2)*($C$13&lt;5.2)*($D$13&gt;=450)*($D$13&lt;=580),"SK00AM02A","")</f>
        <v>SK00AM02A</v>
      </c>
      <c r="J26" s="47" t="str">
        <f>IF(($C$13&gt;2)*($C$13&lt;5.2)*($D$13&gt;=450)*($D$13&lt;=580),"SK00AM02B","")</f>
        <v>SK00AM02B</v>
      </c>
      <c r="K26" s="22"/>
      <c r="L26" s="22"/>
    </row>
    <row r="27" spans="1:12" ht="15" customHeight="1">
      <c r="A27" s="77"/>
      <c r="B27" s="60" t="s">
        <v>190</v>
      </c>
      <c r="C27" s="14" t="s">
        <v>168</v>
      </c>
      <c r="D27" s="85" t="s">
        <v>160</v>
      </c>
      <c r="E27" s="85"/>
      <c r="F27" s="61" t="str">
        <f t="shared" si="0"/>
        <v/>
      </c>
      <c r="G27" s="62" t="str">
        <f t="shared" si="0"/>
        <v/>
      </c>
      <c r="H27" s="47"/>
      <c r="I27" s="47" t="str">
        <f>IF(($C$13&gt;11)*($C$13&lt;20)*($D$13&gt;=300)*($D$13&lt;=349),"SK00AH02A","")</f>
        <v/>
      </c>
      <c r="J27" s="48" t="str">
        <f>IF(($C$13&gt;11)*($C$13&lt;20)*($D$13&gt;=300)*($D$13&lt;=349),"SK00AH02B","")</f>
        <v/>
      </c>
      <c r="K27" s="22"/>
      <c r="L27" s="22"/>
    </row>
    <row r="28" spans="1:12" ht="15" customHeight="1">
      <c r="A28" s="77"/>
      <c r="B28" s="60" t="s">
        <v>190</v>
      </c>
      <c r="C28" s="14" t="s">
        <v>169</v>
      </c>
      <c r="D28" s="85" t="s">
        <v>165</v>
      </c>
      <c r="E28" s="85"/>
      <c r="F28" s="61" t="str">
        <f t="shared" si="0"/>
        <v/>
      </c>
      <c r="G28" s="62" t="str">
        <f t="shared" si="0"/>
        <v/>
      </c>
      <c r="H28" s="47"/>
      <c r="I28" s="47" t="str">
        <f>IF(($C$13&gt;8)*($C$13&lt;14.5)*($D$13&gt;=350)*($D$13&lt;=399),"SK00AH02A","")</f>
        <v/>
      </c>
      <c r="J28" s="48" t="str">
        <f>IF(($C$13&gt;8)*($C$13&lt;14.5)*($D$13&gt;=350)*($D$13&lt;=399),"SK00AH02B","")</f>
        <v/>
      </c>
      <c r="K28" s="22"/>
      <c r="L28" s="22"/>
    </row>
    <row r="29" spans="1:12" ht="15" customHeight="1">
      <c r="A29" s="77"/>
      <c r="B29" s="60" t="s">
        <v>191</v>
      </c>
      <c r="C29" s="14" t="s">
        <v>170</v>
      </c>
      <c r="D29" s="85" t="s">
        <v>156</v>
      </c>
      <c r="E29" s="85"/>
      <c r="F29" s="61" t="str">
        <f t="shared" si="0"/>
        <v/>
      </c>
      <c r="G29" s="62" t="str">
        <f t="shared" si="0"/>
        <v/>
      </c>
      <c r="H29" s="47"/>
      <c r="I29" s="47" t="str">
        <f>IF(($C$13&gt;5.8)*($C$13&lt;11.5)*($D$13&gt;=400)*($D$13&lt;=550),"SK00AH02A","")</f>
        <v/>
      </c>
      <c r="J29" s="47" t="str">
        <f>IF(($C$13&gt;5.8)*($C$13&lt;11.5)*($D$13&gt;=400)*($D$13&lt;=550),"SK00AH02B","")</f>
        <v/>
      </c>
      <c r="K29" s="22"/>
      <c r="L29" s="22"/>
    </row>
    <row r="30" spans="1:12" ht="15" customHeight="1">
      <c r="A30" s="77"/>
      <c r="B30" s="60" t="s">
        <v>191</v>
      </c>
      <c r="C30" s="14" t="s">
        <v>171</v>
      </c>
      <c r="D30" s="85" t="s">
        <v>160</v>
      </c>
      <c r="E30" s="85"/>
      <c r="F30" s="61" t="str">
        <f t="shared" si="0"/>
        <v/>
      </c>
      <c r="G30" s="62" t="str">
        <f t="shared" si="0"/>
        <v/>
      </c>
      <c r="H30" s="47"/>
      <c r="I30" s="47" t="str">
        <f>IF(($C$13&gt;4.2)*($C$13&lt;9.2)*($D$13&gt;=450)*($D$13&lt;=580),"SK00AH02A","")</f>
        <v/>
      </c>
      <c r="J30" s="47" t="str">
        <f>IF(($C$13&gt;4.2)*($C$13&lt;9.2)*($D$13&gt;=450)*($D$13&lt;=580),"SK00AH02B","")</f>
        <v/>
      </c>
      <c r="K30" s="22"/>
      <c r="L30" s="22"/>
    </row>
    <row r="31" spans="1:12" ht="15" customHeight="1" thickBot="1">
      <c r="A31" s="77"/>
      <c r="B31" s="64" t="s">
        <v>191</v>
      </c>
      <c r="C31" s="65" t="s">
        <v>172</v>
      </c>
      <c r="D31" s="153" t="s">
        <v>165</v>
      </c>
      <c r="E31" s="153"/>
      <c r="F31" s="66" t="str">
        <f t="shared" si="0"/>
        <v/>
      </c>
      <c r="G31" s="67" t="str">
        <f t="shared" si="0"/>
        <v/>
      </c>
      <c r="H31" s="47"/>
      <c r="I31" s="47" t="str">
        <f>IF(($C$13&gt;13.5)*($C$13&lt;20)*($D$13&gt;=350)*($D$13&lt;=399),"SK00AC02A","")</f>
        <v/>
      </c>
      <c r="J31" s="47" t="str">
        <f>IF(($C$13&gt;13.5)*($C$13&lt;20)*($D$13&gt;=350)*($D$13&lt;=399),"SK00AC02B","")</f>
        <v/>
      </c>
      <c r="K31" s="22"/>
      <c r="L31" s="22"/>
    </row>
    <row r="32" spans="1:12" ht="40.15" customHeight="1">
      <c r="A32" s="76">
        <v>4</v>
      </c>
      <c r="B32" s="154" t="s">
        <v>192</v>
      </c>
      <c r="C32" s="154"/>
      <c r="D32" s="154"/>
      <c r="E32" s="154"/>
      <c r="F32" s="154"/>
      <c r="G32" s="155"/>
      <c r="H32" s="48"/>
      <c r="I32" s="47" t="str">
        <f>IF(($C$13&gt;10.5)*($C$13&lt;20)*($D$13&gt;=400)*($D$13&lt;=550),"SK00AC02A","")</f>
        <v/>
      </c>
      <c r="J32" s="48" t="str">
        <f>IF(($C$13&gt;10.5)*($C$13&lt;20)*($D$13&gt;=400)*($D$13&lt;=550),"SK00AC02B","")</f>
        <v/>
      </c>
      <c r="K32" s="22"/>
      <c r="L32" s="22"/>
    </row>
    <row r="33" spans="1:12" ht="19.899999999999999" customHeight="1">
      <c r="A33" s="77"/>
      <c r="B33" s="156" t="s">
        <v>181</v>
      </c>
      <c r="C33" s="157"/>
      <c r="D33" s="158" t="s">
        <v>112</v>
      </c>
      <c r="E33" s="158"/>
      <c r="F33" s="156" t="s">
        <v>186</v>
      </c>
      <c r="G33" s="159"/>
      <c r="H33" s="48"/>
      <c r="I33" s="47" t="str">
        <f>IF(C13&gt;16.5," the door is too heavy",IF(($C$13&gt;8.3)*($C$13&lt;16.5)*($D$13&gt;=450)*($D$13&lt;=580),"SK00AC02A",""))</f>
        <v/>
      </c>
      <c r="J33" s="47" t="str">
        <f>IF(C13&gt;16.5," the door is too heavy",IF(($C$13&gt;8.3)*($C$13&lt;16.5)*($D$13&gt;=450)*($D$13&lt;=580),"SK00AC02B",""))</f>
        <v/>
      </c>
      <c r="K33" s="22"/>
      <c r="L33" s="22"/>
    </row>
    <row r="34" spans="1:12" ht="15" customHeight="1">
      <c r="A34" s="77"/>
      <c r="B34" s="151" t="s">
        <v>182</v>
      </c>
      <c r="C34" s="152"/>
      <c r="D34" s="85" t="s">
        <v>154</v>
      </c>
      <c r="E34" s="85"/>
      <c r="F34" s="149" t="str">
        <f>I35</f>
        <v/>
      </c>
      <c r="G34" s="150"/>
      <c r="H34" s="48"/>
      <c r="I34" s="47"/>
      <c r="J34" s="48"/>
      <c r="K34" s="22"/>
      <c r="L34" s="22"/>
    </row>
    <row r="35" spans="1:12" ht="15" customHeight="1">
      <c r="A35" s="77"/>
      <c r="B35" s="151" t="s">
        <v>183</v>
      </c>
      <c r="C35" s="152"/>
      <c r="D35" s="85" t="s">
        <v>156</v>
      </c>
      <c r="E35" s="85"/>
      <c r="F35" s="149" t="str">
        <f t="shared" ref="F35:F36" si="1">I36</f>
        <v/>
      </c>
      <c r="G35" s="150"/>
      <c r="H35" s="48"/>
      <c r="I35" s="47" t="str">
        <f>IF(D13&lt;300,"the door is too short",IF(($D$13&gt;=300)*($D$13&lt;=349),"SK300A01",""))</f>
        <v/>
      </c>
      <c r="J35" s="48"/>
      <c r="K35" s="22"/>
      <c r="L35" s="22"/>
    </row>
    <row r="36" spans="1:12" ht="15" customHeight="1">
      <c r="A36" s="77"/>
      <c r="B36" s="151" t="s">
        <v>184</v>
      </c>
      <c r="C36" s="152"/>
      <c r="D36" s="85" t="s">
        <v>160</v>
      </c>
      <c r="E36" s="85"/>
      <c r="F36" s="149" t="str">
        <f t="shared" si="1"/>
        <v>SK400A01</v>
      </c>
      <c r="G36" s="150"/>
      <c r="H36" s="48"/>
      <c r="I36" s="47" t="str">
        <f>IF(($D$13&gt;=350)*($D$13&lt;=399),"SK350A01","")</f>
        <v/>
      </c>
      <c r="J36" s="48"/>
      <c r="K36" s="22"/>
      <c r="L36" s="22"/>
    </row>
    <row r="37" spans="1:12" ht="15" customHeight="1" thickBot="1">
      <c r="A37" s="78"/>
      <c r="B37" s="160" t="s">
        <v>185</v>
      </c>
      <c r="C37" s="161"/>
      <c r="D37" s="119" t="s">
        <v>165</v>
      </c>
      <c r="E37" s="119"/>
      <c r="F37" s="162" t="str">
        <f>I38</f>
        <v/>
      </c>
      <c r="G37" s="163"/>
      <c r="H37" s="48"/>
      <c r="I37" s="47" t="str">
        <f>IF(($D$13&gt;=400)*($D$13&lt;=550),"SK400A01","")</f>
        <v>SK400A01</v>
      </c>
      <c r="J37" s="48"/>
      <c r="K37" s="22"/>
    </row>
    <row r="38" spans="1:12" ht="15" customHeight="1">
      <c r="A38" s="143" t="s">
        <v>106</v>
      </c>
      <c r="B38" s="144"/>
      <c r="C38" s="144"/>
      <c r="D38" s="144"/>
      <c r="E38" s="144"/>
      <c r="F38" s="144"/>
      <c r="G38" s="145"/>
      <c r="I38" s="47" t="str">
        <f>IF(D13&gt;580,"the door is too high",IF(($D$13&gt;550)*($D$13&lt;=580),"SK450A01",""))</f>
        <v/>
      </c>
      <c r="J38" s="48"/>
    </row>
    <row r="39" spans="1:12" ht="15" customHeight="1" thickBot="1">
      <c r="A39" s="146"/>
      <c r="B39" s="147"/>
      <c r="C39" s="147"/>
      <c r="D39" s="147"/>
      <c r="E39" s="147"/>
      <c r="F39" s="147"/>
      <c r="G39" s="148"/>
      <c r="J39" s="22"/>
    </row>
    <row r="40" spans="1:12">
      <c r="J40" s="22"/>
    </row>
    <row r="41" spans="1:12">
      <c r="J41" s="22"/>
    </row>
  </sheetData>
  <mergeCells count="49">
    <mergeCell ref="A1:G7"/>
    <mergeCell ref="J1:K1"/>
    <mergeCell ref="A8:A10"/>
    <mergeCell ref="B8:G8"/>
    <mergeCell ref="D9:D10"/>
    <mergeCell ref="F9:G10"/>
    <mergeCell ref="A11:A13"/>
    <mergeCell ref="B11:G11"/>
    <mergeCell ref="B12:B13"/>
    <mergeCell ref="D12:E12"/>
    <mergeCell ref="F12:G13"/>
    <mergeCell ref="D13:E13"/>
    <mergeCell ref="D28:E28"/>
    <mergeCell ref="A14:A31"/>
    <mergeCell ref="B14:G14"/>
    <mergeCell ref="D15:E15"/>
    <mergeCell ref="D16:E16"/>
    <mergeCell ref="D17:E17"/>
    <mergeCell ref="D18:E18"/>
    <mergeCell ref="D19:E19"/>
    <mergeCell ref="D20:E20"/>
    <mergeCell ref="D21:E21"/>
    <mergeCell ref="D22:E22"/>
    <mergeCell ref="D23:E23"/>
    <mergeCell ref="D24:E24"/>
    <mergeCell ref="D25:E25"/>
    <mergeCell ref="D26:E26"/>
    <mergeCell ref="D27:E27"/>
    <mergeCell ref="D29:E29"/>
    <mergeCell ref="D30:E30"/>
    <mergeCell ref="D31:E31"/>
    <mergeCell ref="A32:A37"/>
    <mergeCell ref="B32:G32"/>
    <mergeCell ref="B33:C33"/>
    <mergeCell ref="D33:E33"/>
    <mergeCell ref="F33:G33"/>
    <mergeCell ref="B34:C34"/>
    <mergeCell ref="D34:E34"/>
    <mergeCell ref="B37:C37"/>
    <mergeCell ref="D37:E37"/>
    <mergeCell ref="F37:G37"/>
    <mergeCell ref="A38:G39"/>
    <mergeCell ref="F34:G34"/>
    <mergeCell ref="B35:C35"/>
    <mergeCell ref="D35:E35"/>
    <mergeCell ref="F35:G35"/>
    <mergeCell ref="B36:C36"/>
    <mergeCell ref="D36:E36"/>
    <mergeCell ref="F36:G36"/>
  </mergeCells>
  <phoneticPr fontId="14" type="noConversion"/>
  <hyperlinks>
    <hyperlink ref="A38" r:id="rId1" xr:uid="{3D2FB998-2BD8-4BF8-8290-DA999B39067A}"/>
  </hyperlinks>
  <pageMargins left="0.7" right="0.7" top="0.75" bottom="0.75" header="0.3" footer="0.3"/>
  <pageSetup paperSize="9" orientation="portrait" r:id="rId2"/>
  <drawing r:id="rId3"/>
  <legacyDrawing r:id="rId4"/>
  <oleObjects>
    <mc:AlternateContent xmlns:mc="http://schemas.openxmlformats.org/markup-compatibility/2006">
      <mc:Choice Requires="x14">
        <oleObject progId="CorelDraw.Graphic.18" shapeId="12289" r:id="rId5">
          <objectPr defaultSize="0" autoPict="0" r:id="rId6">
            <anchor moveWithCells="1">
              <from>
                <xdr:col>0</xdr:col>
                <xdr:colOff>133350</xdr:colOff>
                <xdr:row>0</xdr:row>
                <xdr:rowOff>95250</xdr:rowOff>
              </from>
              <to>
                <xdr:col>1</xdr:col>
                <xdr:colOff>1247775</xdr:colOff>
                <xdr:row>2</xdr:row>
                <xdr:rowOff>228600</xdr:rowOff>
              </to>
            </anchor>
          </objectPr>
        </oleObject>
      </mc:Choice>
      <mc:Fallback>
        <oleObject progId="CorelDraw.Graphic.18" shapeId="12289" r:id="rId5"/>
      </mc:Fallback>
    </mc:AlternateContent>
  </oleObjects>
  <mc:AlternateContent xmlns:mc="http://schemas.openxmlformats.org/markup-compatibility/2006">
    <mc:Choice Requires="x14">
      <controls>
        <mc:AlternateContent xmlns:mc="http://schemas.openxmlformats.org/markup-compatibility/2006">
          <mc:Choice Requires="x14">
            <control shapeId="12290" r:id="rId7" name="Drop Down 2">
              <controlPr defaultSize="0" autoLine="0" autoPict="0">
                <anchor>
                  <from>
                    <xdr:col>1</xdr:col>
                    <xdr:colOff>209550</xdr:colOff>
                    <xdr:row>11</xdr:row>
                    <xdr:rowOff>95250</xdr:rowOff>
                  </from>
                  <to>
                    <xdr:col>1</xdr:col>
                    <xdr:colOff>2390775</xdr:colOff>
                    <xdr:row>12</xdr:row>
                    <xdr:rowOff>152400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Έγγραφο" ma:contentTypeID="0x010100E2BA9EB323A3694F883735EDEE44422C" ma:contentTypeVersion="17" ma:contentTypeDescription="Δημιουργία νέου εγγράφου" ma:contentTypeScope="" ma:versionID="a6c13d384565c9ecfd8855429b29c92e">
  <xsd:schema xmlns:xsd="http://www.w3.org/2001/XMLSchema" xmlns:xs="http://www.w3.org/2001/XMLSchema" xmlns:p="http://schemas.microsoft.com/office/2006/metadata/properties" xmlns:ns2="6e264de0-91bf-42f3-abe1-69b10d1026c7" xmlns:ns3="49bc0dba-52c4-47b1-a8b1-323b5e114931" targetNamespace="http://schemas.microsoft.com/office/2006/metadata/properties" ma:root="true" ma:fieldsID="a99d080f925a666d14d01a77bbd231de" ns2:_="" ns3:_="">
    <xsd:import namespace="6e264de0-91bf-42f3-abe1-69b10d1026c7"/>
    <xsd:import namespace="49bc0dba-52c4-47b1-a8b1-323b5e114931"/>
    <xsd:element name="properties">
      <xsd:complexType>
        <xsd:sequence>
          <xsd:element name="documentManagement">
            <xsd:complexType>
              <xsd:all>
                <xsd:element ref="ns2:_dlc_DocId" minOccurs="0"/>
                <xsd:element ref="ns2:_dlc_DocIdUrl" minOccurs="0"/>
                <xsd:element ref="ns2:_dlc_DocIdPersistId" minOccurs="0"/>
                <xsd:element ref="ns3:ObjCode" minOccurs="0"/>
                <xsd:element ref="ns3:ObjName" minOccurs="0"/>
                <xsd:element ref="ns3:ObjColor" minOccurs="0"/>
                <xsd:element ref="ns3:ObjCategory" minOccurs="0"/>
                <xsd:element ref="ns3:ObjRemarks" minOccurs="0"/>
                <xsd:element ref="ns3:ObjFilename"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lcf76f155ced4ddcb4097134ff3c332f" minOccurs="0"/>
                <xsd:element ref="ns2:TaxCatchAll"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264de0-91bf-42f3-abe1-69b10d1026c7"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156cd570-bce2-42e0-8029-9e25a45e1fb6}" ma:internalName="TaxCatchAll" ma:showField="CatchAllData" ma:web="6e264de0-91bf-42f3-abe1-69b10d1026c7">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9bc0dba-52c4-47b1-a8b1-323b5e114931" elementFormDefault="qualified">
    <xsd:import namespace="http://schemas.microsoft.com/office/2006/documentManagement/types"/>
    <xsd:import namespace="http://schemas.microsoft.com/office/infopath/2007/PartnerControls"/>
    <xsd:element name="ObjCode" ma:index="11" nillable="true" ma:displayName="ObjCode" ma:internalName="ObjCode">
      <xsd:simpleType>
        <xsd:restriction base="dms:Text"/>
      </xsd:simpleType>
    </xsd:element>
    <xsd:element name="ObjName" ma:index="12" nillable="true" ma:displayName="ObjName" ma:internalName="ObjName">
      <xsd:simpleType>
        <xsd:restriction base="dms:Text"/>
      </xsd:simpleType>
    </xsd:element>
    <xsd:element name="ObjColor" ma:index="13" nillable="true" ma:displayName="ObjColor" ma:internalName="ObjColor">
      <xsd:simpleType>
        <xsd:restriction base="dms:Text"/>
      </xsd:simpleType>
    </xsd:element>
    <xsd:element name="ObjCategory" ma:index="14" nillable="true" ma:displayName="ObjCategory" ma:internalName="ObjCategory">
      <xsd:simpleType>
        <xsd:restriction base="dms:Text"/>
      </xsd:simpleType>
    </xsd:element>
    <xsd:element name="ObjRemarks" ma:index="15" nillable="true" ma:displayName="ObjRemarks" ma:internalName="ObjRemarks">
      <xsd:simpleType>
        <xsd:restriction base="dms:Text"/>
      </xsd:simpleType>
    </xsd:element>
    <xsd:element name="ObjFilename" ma:index="16" nillable="true" ma:displayName="ObjFilename" ma:internalName="ObjFilename">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cf76f155ced4ddcb4097134ff3c332f" ma:index="24" nillable="true" ma:taxonomy="true" ma:internalName="lcf76f155ced4ddcb4097134ff3c332f" ma:taxonomyFieldName="MediaServiceImageTags" ma:displayName="Ετικέτες εικόνας" ma:readOnly="false" ma:fieldId="{5cf76f15-5ced-4ddc-b409-7134ff3c332f}" ma:taxonomyMulti="true" ma:sspId="ff039847-dbad-4a7d-814e-4557646c911a"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element name="MediaLengthInSeconds" ma:index="2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6e264de0-91bf-42f3-abe1-69b10d1026c7">K3AAJEHMUSDA-1039207618-196</_dlc_DocId>
    <_dlc_DocIdUrl xmlns="6e264de0-91bf-42f3-abe1-69b10d1026c7">
      <Url>https://marmouris.sharepoint.com/sites/files/_layouts/15/DocIdRedir.aspx?ID=K3AAJEHMUSDA-1039207618-196</Url>
      <Description>K3AAJEHMUSDA-1039207618-196</Description>
    </_dlc_DocIdUrl>
    <TaxCatchAll xmlns="6e264de0-91bf-42f3-abe1-69b10d1026c7" xsi:nil="true"/>
    <ObjName xmlns="49bc0dba-52c4-47b1-a8b1-323b5e114931">ΜΗΧΑΝΙΣΜΟΣ ΑΝΥΨΩΣΗΣ ΣΠΑΣΤΟΥ ΝΤΟΥΛΑΠΙΟΥ ΓΙΑ ΠΟΡΤΑΚΙ Y650-729mm 3.7KG – 7.2KG TOP-STAYS ST ΓΚΡΙ DTC</ObjName>
    <ObjRemarks xmlns="49bc0dba-52c4-47b1-a8b1-323b5e114931" xsi:nil="true"/>
    <ObjCategory xmlns="49bc0dba-52c4-47b1-a8b1-323b5e114931">Σχεδιάγραμμα</ObjCategory>
    <ObjColor xmlns="49bc0dba-52c4-47b1-a8b1-323b5e114931" xsi:nil="true"/>
    <ObjCode xmlns="49bc0dba-52c4-47b1-a8b1-323b5e114931">408-ST04AL02B</ObjCode>
    <ObjFilename xmlns="49bc0dba-52c4-47b1-a8b1-323b5e114931">Calculator TOP STAYS -ST</ObjFilename>
    <lcf76f155ced4ddcb4097134ff3c332f xmlns="49bc0dba-52c4-47b1-a8b1-323b5e11493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97D0CBD-78B5-4D39-A5FD-F1E56E5C3A18}"/>
</file>

<file path=customXml/itemProps2.xml><?xml version="1.0" encoding="utf-8"?>
<ds:datastoreItem xmlns:ds="http://schemas.openxmlformats.org/officeDocument/2006/customXml" ds:itemID="{E343A2AF-0B9B-4C30-A1BA-9A16D10C5F5A}"/>
</file>

<file path=customXml/itemProps3.xml><?xml version="1.0" encoding="utf-8"?>
<ds:datastoreItem xmlns:ds="http://schemas.openxmlformats.org/officeDocument/2006/customXml" ds:itemID="{4DBA8103-3D3E-42F1-AAB3-E4A6DB05BDE2}"/>
</file>

<file path=customXml/itemProps4.xml><?xml version="1.0" encoding="utf-8"?>
<ds:datastoreItem xmlns:ds="http://schemas.openxmlformats.org/officeDocument/2006/customXml" ds:itemID="{462D026F-5C67-4073-80FA-0F32CCECD91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7</vt:i4>
      </vt:variant>
    </vt:vector>
  </HeadingPairs>
  <TitlesOfParts>
    <vt:vector size="7" baseType="lpstr">
      <vt:lpstr>SQ new</vt:lpstr>
      <vt:lpstr>SQ old</vt:lpstr>
      <vt:lpstr>SF</vt:lpstr>
      <vt:lpstr>SE</vt:lpstr>
      <vt:lpstr>ST GR</vt:lpstr>
      <vt:lpstr>ST EN</vt:lpstr>
      <vt:lpstr>SK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2026-01-22T06:36:23Z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0x010100E2BA9EB323A3694F883735EDEE44422C</vt:lpwstr>
  </property>
  <property fmtid="{D5CDD505-2E9C-101B-9397-08002B2CF9AE}" pid="3" name="_dlc_DocIdItemGuid">
    <vt:lpwstr>920238e9-3b2e-4c74-8e5f-4b6e44f5491a</vt:lpwstr>
  </property>
</Properties>
</file>