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embeddings/oleObject5.bin" ContentType="application/vnd.openxmlformats-officedocument.oleObject"/>
  <Override PartName="/xl/drawings/drawing4.xml" ContentType="application/vnd.openxmlformats-officedocument.drawing+xml"/>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embeddings/oleObject9.bin" ContentType="application/vnd.openxmlformats-officedocument.oleObject"/>
  <Override PartName="/xl/drawings/drawing7.xml" ContentType="application/vnd.openxmlformats-officedocument.drawing+xml"/>
  <Override PartName="/xl/embeddings/oleObject10.bin" ContentType="application/vnd.openxmlformats-officedocument.oleObject"/>
  <Override PartName="/xl/drawings/drawing8.xml" ContentType="application/vnd.openxmlformats-officedocument.drawing+xml"/>
  <Override PartName="/xl/embeddings/oleObject1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8.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F6F6BD9E-B4B4-405A-8EA5-1AB01FD6493F}" xr6:coauthVersionLast="47" xr6:coauthVersionMax="47" xr10:uidLastSave="{00000000-0000-0000-0000-000000000000}"/>
  <bookViews>
    <workbookView xWindow="-120" yWindow="-120" windowWidth="29040" windowHeight="15720" activeTab="3" xr2:uid="{00000000-000D-0000-FFFF-FFFF00000000}"/>
  </bookViews>
  <sheets>
    <sheet name="SQ new GR" sheetId="9" r:id="rId1"/>
    <sheet name="SQ old GR" sheetId="10" r:id="rId2"/>
    <sheet name="SQ new EN" sheetId="7" r:id="rId3"/>
    <sheet name="SQ old EN" sheetId="1" r:id="rId4"/>
    <sheet name="SF" sheetId="2" state="hidden" r:id="rId5"/>
    <sheet name="SE" sheetId="5" state="hidden" r:id="rId6"/>
    <sheet name="ST" sheetId="6" state="hidden" r:id="rId7"/>
    <sheet name="SK" sheetId="8" state="hidden" r:id="rId8"/>
  </sheets>
  <definedNames>
    <definedName name="Z_947B752F_E4E5_4C5C_81CB_1317F626B06B_.wvu.Cols" localSheetId="5" hidden="1">SE!$G:$J</definedName>
    <definedName name="Z_947B752F_E4E5_4C5C_81CB_1317F626B06B_.wvu.Cols" localSheetId="4" hidden="1">SF!$G:$J</definedName>
    <definedName name="Z_947B752F_E4E5_4C5C_81CB_1317F626B06B_.wvu.Cols" localSheetId="2" hidden="1">'SQ new EN'!$G:$J</definedName>
    <definedName name="Z_947B752F_E4E5_4C5C_81CB_1317F626B06B_.wvu.Cols" localSheetId="0" hidden="1">'SQ new GR'!$G:$J</definedName>
    <definedName name="Z_947B752F_E4E5_4C5C_81CB_1317F626B06B_.wvu.Cols" localSheetId="3" hidden="1">'SQ old EN'!$G:$J</definedName>
    <definedName name="Z_947B752F_E4E5_4C5C_81CB_1317F626B06B_.wvu.Cols" localSheetId="1" hidden="1">'SQ old GR'!$G:$J</definedName>
    <definedName name="Z_947B752F_E4E5_4C5C_81CB_1317F626B06B_.wvu.Cols" localSheetId="6" hidden="1">ST!$H:$K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0" l="1"/>
  <c r="I9" i="10"/>
  <c r="I10" i="10"/>
  <c r="I11" i="10"/>
  <c r="J11" i="10"/>
  <c r="J10" i="10" s="1"/>
  <c r="J9" i="10" s="1"/>
  <c r="C13" i="10" s="1"/>
  <c r="D13" i="10" s="1"/>
  <c r="I12" i="10"/>
  <c r="J12" i="10"/>
  <c r="I13" i="10"/>
  <c r="I14" i="10"/>
  <c r="I15" i="10"/>
  <c r="I16" i="10"/>
  <c r="J16" i="10"/>
  <c r="J15" i="10" s="1"/>
  <c r="J14" i="10" s="1"/>
  <c r="J13" i="10" s="1"/>
  <c r="I8" i="9"/>
  <c r="I9" i="9"/>
  <c r="I10" i="9"/>
  <c r="I11" i="9"/>
  <c r="I12" i="9"/>
  <c r="I13" i="9"/>
  <c r="I14" i="9"/>
  <c r="J14" i="9"/>
  <c r="J13" i="9" s="1"/>
  <c r="J12" i="9" s="1"/>
  <c r="J11" i="9" s="1"/>
  <c r="J10" i="9" s="1"/>
  <c r="J9" i="9" s="1"/>
  <c r="C13" i="9" s="1"/>
  <c r="D13" i="9" s="1"/>
  <c r="I15" i="9"/>
  <c r="J15" i="9"/>
  <c r="I16" i="9"/>
  <c r="J16" i="9"/>
  <c r="I31" i="9"/>
  <c r="C39" i="9" s="1"/>
  <c r="D39" i="9" s="1"/>
  <c r="I32" i="9"/>
  <c r="I33" i="9"/>
  <c r="I34" i="9"/>
  <c r="I35" i="9"/>
  <c r="I36" i="9"/>
  <c r="I37" i="9"/>
  <c r="I38" i="9"/>
  <c r="J38" i="9"/>
  <c r="J37" i="9" s="1"/>
  <c r="J36" i="9" s="1"/>
  <c r="J35" i="9" s="1"/>
  <c r="J34" i="9" s="1"/>
  <c r="J33" i="9" s="1"/>
  <c r="J32" i="9" s="1"/>
  <c r="I39" i="9"/>
  <c r="J39" i="9"/>
  <c r="H17" i="10" l="1"/>
  <c r="D15" i="10" s="1"/>
  <c r="G18" i="10"/>
  <c r="C16" i="10" s="1"/>
  <c r="G17" i="10"/>
  <c r="C15" i="10" s="1"/>
  <c r="H18" i="10"/>
  <c r="D16" i="10" s="1"/>
  <c r="G18" i="9"/>
  <c r="C16" i="9" s="1"/>
  <c r="H18" i="9"/>
  <c r="D16" i="9" s="1"/>
  <c r="G17" i="9"/>
  <c r="C15" i="9" s="1"/>
  <c r="H17" i="9"/>
  <c r="D15" i="9" s="1"/>
  <c r="G41" i="9"/>
  <c r="C42" i="9" s="1"/>
  <c r="H41" i="9"/>
  <c r="D42" i="9" s="1"/>
  <c r="G40" i="9"/>
  <c r="C41" i="9" s="1"/>
  <c r="H40" i="9"/>
  <c r="D41"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<sst xmlns="http://schemas.openxmlformats.org/spreadsheetml/2006/main" count="546" uniqueCount="247">
  <si>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</si>
  <si>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</si>
  <si>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</si>
  <si>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</si>
  <si>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</si>
  <si>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</si>
  <si>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</si>
  <si>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</si>
  <si>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</si>
  <si>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</si>
  <si>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</si>
  <si>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</si>
  <si>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</si>
  <si>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</si>
  <si>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</si>
  <si>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</si>
  <si>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</si>
  <si>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</si>
  <si>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</si>
  <si>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</si>
  <si>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</si>
  <si>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</si>
  <si>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</si>
  <si>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</si>
  <si>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</si>
  <si>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</si>
  <si>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</si>
  <si>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</si>
  <si>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</si>
  <si>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</si>
  <si>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</si>
  <si>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</si>
  <si>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</si>
  <si>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</si>
  <si>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</si>
  <si>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</si>
  <si>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</si>
  <si>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</si>
  <si>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</si>
  <si>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</si>
  <si>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</si>
  <si>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</si>
  <si>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</si>
  <si>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</si>
  <si>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</si>
  <si>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</si>
  <si>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</si>
  <si>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</si>
  <si>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</si>
  <si>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</si>
  <si>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</si>
  <si>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</si>
  <si>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</si>
  <si>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</si>
  <si>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</si>
  <si>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</si>
  <si>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</si>
  <si>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</si>
  <si>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</si>
  <si>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</si>
  <si>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</si>
  <si>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</si>
  <si>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</si>
  <si>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</si>
  <si>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</si>
  <si>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</si>
  <si>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</si>
  <si>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</si>
  <si>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</si>
  <si>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</si>
  <si>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</si>
  <si>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</si>
  <si>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</si>
  <si>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</si>
  <si>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</si>
  <si>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</si>
  <si>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</si>
  <si>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</si>
  <si>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</si>
  <si>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</si>
  <si>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</si>
  <si>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</si>
  <si>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</si>
  <si>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</si>
  <si>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</si>
  <si>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</si>
  <si>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</si>
  <si>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</si>
  <si>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</si>
  <si>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5" type="noConversion"/>
  </si>
  <si>
    <t>weight of handle, in gram</t>
    <phoneticPr fontId="15" type="noConversion"/>
  </si>
  <si>
    <t>calculator list SQ:</t>
    <phoneticPr fontId="15" type="noConversion"/>
  </si>
  <si>
    <t>density 1м2</t>
    <phoneticPr fontId="15" type="noConversion"/>
  </si>
  <si>
    <t>calculation</t>
    <phoneticPr fontId="15" type="noConversion"/>
  </si>
  <si>
    <t>formula</t>
    <phoneticPr fontId="15" type="noConversion"/>
  </si>
  <si>
    <t>Material</t>
    <phoneticPr fontId="15" type="noConversion"/>
  </si>
  <si>
    <t>chipboard 16 мм</t>
    <phoneticPr fontId="15" type="noConversion"/>
  </si>
  <si>
    <t>chipboard 18 мм</t>
    <phoneticPr fontId="15" type="noConversion"/>
  </si>
  <si>
    <t>МDF 16 мм</t>
    <phoneticPr fontId="15" type="noConversion"/>
  </si>
  <si>
    <t>МDF 18/19 мм</t>
    <phoneticPr fontId="15" type="noConversion"/>
  </si>
  <si>
    <t>solid wood 16 мм</t>
    <phoneticPr fontId="15" type="noConversion"/>
  </si>
  <si>
    <t>solid wood 18 мм</t>
    <phoneticPr fontId="15" type="noConversion"/>
  </si>
  <si>
    <t>Aluminium Frame</t>
    <phoneticPr fontId="15" type="noConversion"/>
  </si>
  <si>
    <t>door weight, in kg</t>
    <phoneticPr fontId="15" type="noConversion"/>
  </si>
  <si>
    <t>power factor (LF)</t>
    <phoneticPr fontId="15" type="noConversion"/>
  </si>
  <si>
    <t>Mechanism Reference</t>
    <phoneticPr fontId="15" type="noConversion"/>
  </si>
  <si>
    <t>www.dtcdtc.com</t>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</si>
  <si>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5" type="noConversion"/>
  </si>
  <si>
    <t>calculator list SF:</t>
    <phoneticPr fontId="15" type="noConversion"/>
  </si>
  <si>
    <t>calculator list SE:</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</si>
  <si>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5" type="noConversion"/>
  </si>
  <si>
    <t>calculator list ST:</t>
    <phoneticPr fontId="15" type="noConversion"/>
  </si>
  <si>
    <t>door height, in mm</t>
    <phoneticPr fontId="15"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</si>
  <si>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5" type="noConversion"/>
  </si>
  <si>
    <t>1. Size of the door and weight of handle</t>
    <phoneticPr fontId="15" type="noConversion"/>
  </si>
  <si>
    <t>Height, in mm (max. 600мм)</t>
    <phoneticPr fontId="15" type="noConversion"/>
  </si>
  <si>
    <t>Width, in mm</t>
    <phoneticPr fontId="15" type="noConversion"/>
  </si>
  <si>
    <t>Weight of handle, in g</t>
    <phoneticPr fontId="15" type="noConversion"/>
  </si>
  <si>
    <t>2. Select the door material from the drop-down list and get the door weight and required power factor</t>
    <phoneticPr fontId="15" type="noConversion"/>
  </si>
  <si>
    <t>LF range and door height range</t>
    <phoneticPr fontId="15"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</si>
  <si>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5" type="noConversion"/>
  </si>
  <si>
    <t>Average of LF</t>
    <phoneticPr fontId="15" type="noConversion"/>
  </si>
  <si>
    <t>Height, in mm (max. 500мм)</t>
    <phoneticPr fontId="15" type="noConversion"/>
  </si>
  <si>
    <t>LF range</t>
    <phoneticPr fontId="15" type="noConversion"/>
  </si>
  <si>
    <t>Height, in mm (max. 700мм)</t>
    <phoneticPr fontId="15" type="noConversion"/>
  </si>
  <si>
    <t>Height,  in mm (max. 600мм)</t>
    <phoneticPr fontId="15" type="noConversion"/>
  </si>
  <si>
    <t>МDF 22 мм</t>
    <phoneticPr fontId="15" type="noConversion"/>
  </si>
  <si>
    <t>solid wood 22 мм</t>
    <phoneticPr fontId="15" type="noConversion"/>
  </si>
  <si>
    <t>Счетчик списка SQ:</t>
  </si>
  <si>
    <t>Dark Grey cover cap</t>
    <phoneticPr fontId="15" type="noConversion"/>
  </si>
  <si>
    <t xml:space="preserve">Suggested Model </t>
    <phoneticPr fontId="15" type="noConversion"/>
  </si>
  <si>
    <t>with White Cover Cap</t>
    <phoneticPr fontId="15" type="noConversion"/>
  </si>
  <si>
    <t>with Dark Grey Cover Cap</t>
    <phoneticPr fontId="15" type="noConversion"/>
  </si>
  <si>
    <t>Regular Usage (one set)</t>
    <phoneticPr fontId="15" type="noConversion"/>
  </si>
  <si>
    <t>when the door is too big, use a 3rd mechanism, suggested model</t>
    <phoneticPr fontId="15" type="noConversion"/>
  </si>
  <si>
    <t>one set</t>
    <phoneticPr fontId="15" type="noConversion"/>
  </si>
  <si>
    <t>two sets</t>
    <phoneticPr fontId="15"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</si>
  <si>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</si>
  <si>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</si>
  <si>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door material from the drop-down list and get the door weight and required power factor</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</si>
  <si>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5" type="noConversion"/>
  </si>
  <si>
    <t>White 
cover cap</t>
    <phoneticPr fontId="15"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</si>
  <si>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</si>
  <si>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Size of the door and weight of handle</t>
    <phoneticPr fontId="15"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</si>
  <si>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</si>
  <si>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5" type="noConversion"/>
  </si>
  <si>
    <t>Suggested Model</t>
    <phoneticPr fontId="15" type="noConversion"/>
  </si>
  <si>
    <t>size of the door and weight of handle</t>
    <phoneticPr fontId="15" type="noConversion"/>
  </si>
  <si>
    <t>Select the door material from the drop-down list and get the door weight</t>
    <phoneticPr fontId="15"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</si>
  <si>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5" type="noConversion"/>
  </si>
  <si>
    <t>Х</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</si>
  <si>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5"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</si>
  <si>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</si>
  <si>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</si>
  <si>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</si>
  <si>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</si>
  <si>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</si>
  <si>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</si>
  <si>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</si>
  <si>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</si>
  <si>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</si>
  <si>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</si>
  <si>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</si>
  <si>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</si>
  <si>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</si>
  <si>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</si>
  <si>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</si>
  <si>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</si>
  <si>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</si>
  <si>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</si>
  <si>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</si>
  <si>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</si>
  <si>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</si>
  <si>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</si>
  <si>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5" type="noConversion"/>
  </si>
  <si>
    <t>weight of handle, in g</t>
    <phoneticPr fontId="15" type="noConversion"/>
  </si>
  <si>
    <t xml:space="preserve">Enter the dimensions of the front and the weight of the handle:                 </t>
    <phoneticPr fontId="15" type="noConversion"/>
  </si>
  <si>
    <t xml:space="preserve">Select the door material from the drop-down list and get the door weight    </t>
    <phoneticPr fontId="15" type="noConversion"/>
  </si>
  <si>
    <t>Suggested Model in White</t>
    <phoneticPr fontId="15" type="noConversion"/>
  </si>
  <si>
    <t>Suggested model in Dark Grey</t>
    <phoneticPr fontId="15" type="noConversion"/>
  </si>
  <si>
    <t>calculator list SK:</t>
    <phoneticPr fontId="15" type="noConversion"/>
  </si>
  <si>
    <t>lever arms</t>
    <phoneticPr fontId="15" type="noConversion"/>
  </si>
  <si>
    <t>lever arm set ТOP STAY SK 300-349</t>
    <phoneticPr fontId="15" type="noConversion"/>
  </si>
  <si>
    <t>lever arm set ТOP STAY SK 350-399</t>
  </si>
  <si>
    <t>lever arm set ТOP STAY SK 400-550</t>
  </si>
  <si>
    <t>lever arm set ТOP STAY SK 450-580</t>
  </si>
  <si>
    <t>Suggested lever arm set model</t>
    <phoneticPr fontId="15"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</si>
  <si>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</si>
  <si>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</si>
  <si>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</si>
  <si>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</si>
  <si>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</si>
  <si>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5"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</si>
  <si>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5"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</si>
  <si>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</si>
  <si>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</si>
  <si>
    <t>www.dtcdtc.com</t>
    <phoneticPr fontId="16"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</si>
  <si>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</si>
  <si>
    <t>Μέσος όρος LF</t>
  </si>
  <si>
    <t>LF συνετελστής δύναμης και εύρος ύψους πόρτας</t>
  </si>
  <si>
    <t>Μηχανισμοί</t>
  </si>
  <si>
    <r>
      <t xml:space="preserve">Επιλέξτε το κατάλληλο μοντέλο μηχανισμού ανύψωσης </t>
    </r>
    <r>
      <rPr>
        <b/>
        <sz val="11"/>
        <color theme="0" tint="-4.9989318521683403E-2"/>
        <rFont val="Calibri"/>
        <family val="2"/>
        <charset val="161"/>
        <scheme val="minor"/>
      </rPr>
      <t xml:space="preserve">Top Stays SQ new push </t>
    </r>
    <r>
      <rPr>
        <sz val="11"/>
        <color theme="0" tint="-4.9989318521683403E-2"/>
        <rFont val="Calibri"/>
        <family val="2"/>
        <charset val="204"/>
        <scheme val="minor"/>
      </rPr>
      <t>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</si>
  <si>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όταν η πόρτα είναι πολύ μεγάλη, χρησιμοποίησε 3ο μηχανισμό, προτεινόμενο μοντέλο</t>
  </si>
  <si>
    <t>Απλή χρήση (ένα σετ)</t>
  </si>
  <si>
    <t>με σκούρο Γκρι καπάκι</t>
  </si>
  <si>
    <t>με λευκό καπάκι</t>
  </si>
  <si>
    <t>Προτεινόμενο μοντέλο</t>
  </si>
  <si>
    <t>Aluminium Frame</t>
    <phoneticPr fontId="16" type="noConversion"/>
  </si>
  <si>
    <t>solid wood 22 мм</t>
    <phoneticPr fontId="16" type="noConversion"/>
  </si>
  <si>
    <t>συντελεστής δύναμης(LF)</t>
  </si>
  <si>
    <t>βάρος πόρτας, σε kg</t>
  </si>
  <si>
    <t>solid wood 18 мм</t>
    <phoneticPr fontId="16" type="noConversion"/>
  </si>
  <si>
    <t xml:space="preserve">Επίλεξε το υλικό τη λίστα και υπολόγισε το βάρος πόρτας &amp; του συντελεστή δύναμης </t>
  </si>
  <si>
    <t>solid wood 16 мм</t>
    <phoneticPr fontId="16" type="noConversion"/>
  </si>
  <si>
    <t>МDF 22 мм</t>
    <phoneticPr fontId="16" type="noConversion"/>
  </si>
  <si>
    <t>Βάρος χερουλιού, σε gr</t>
  </si>
  <si>
    <t>Πλάτος, σε mm</t>
  </si>
  <si>
    <t>Ύψος, σε mm (max. 600мм)</t>
  </si>
  <si>
    <t>МDF 18/19 мм</t>
    <phoneticPr fontId="16" type="noConversion"/>
  </si>
  <si>
    <t>Μέγεθος πόρτας και βάρος χερουλιού</t>
  </si>
  <si>
    <t>МDF 16 мм</t>
    <phoneticPr fontId="16" type="noConversion"/>
  </si>
  <si>
    <t>chipboard 18 мм</t>
    <phoneticPr fontId="16" type="noConversion"/>
  </si>
  <si>
    <t>chipboard 16 мм</t>
    <phoneticPr fontId="16" type="noConversion"/>
  </si>
  <si>
    <t>formula</t>
    <phoneticPr fontId="16" type="noConversion"/>
  </si>
  <si>
    <t>calculation</t>
    <phoneticPr fontId="16" type="noConversion"/>
  </si>
  <si>
    <t>density 1м2</t>
    <phoneticPr fontId="16" type="noConversion"/>
  </si>
  <si>
    <t>Material</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</si>
  <si>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</si>
  <si>
    <r>
      <t xml:space="preserve">Επιλέξτε το κατάλληλο μοντέλο μηχανισμού ανύψωσης Top </t>
    </r>
    <r>
      <rPr>
        <b/>
        <sz val="11"/>
        <color theme="0" tint="-4.9989318521683403E-2"/>
        <rFont val="Calibri"/>
        <family val="2"/>
        <charset val="161"/>
        <scheme val="minor"/>
      </rPr>
      <t>Stays SQ new</t>
    </r>
    <r>
      <rPr>
        <sz val="11"/>
        <color theme="0" tint="-4.9989318521683403E-2"/>
        <rFont val="Calibri"/>
        <family val="2"/>
        <charset val="204"/>
        <scheme val="minor"/>
      </rPr>
      <t xml:space="preserv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</si>
  <si>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 xml:space="preserve">όταν η πόρτα είναι πολύ μεγάλη, χρησιμοποίησε 3ο μηχανισμό, προτεινόμενο μοντέλο </t>
  </si>
  <si>
    <t xml:space="preserve">με σκούρο Γκρι Καπάκι </t>
  </si>
  <si>
    <t>συντελεστής δύναμης (LF)</t>
  </si>
  <si>
    <t>Βάρος χερουλιού, σε g</t>
  </si>
  <si>
    <t>Х</t>
    <phoneticPr fontId="16" type="noConversion"/>
  </si>
  <si>
    <t>calculator list SQ:</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</si>
  <si>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</si>
  <si>
    <r>
      <rPr>
        <sz val="9"/>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11"/>
        <color theme="1"/>
        <rFont val="Calibri"/>
        <family val="2"/>
        <scheme val="minor"/>
      </rPr>
      <t xml:space="preserve">			</t>
    </r>
  </si>
  <si>
    <t>LF συντελεστής δύναμης</t>
  </si>
  <si>
    <t>Μηχανισμός</t>
  </si>
  <si>
    <t>Επιλέξτε το κατάλληλο μοντέλο μηχανισμού ανύψωσης Top Stays SQ old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</si>
  <si>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όταν η πόρτα είναι πολύ μεγάλη, χρησιμοποίησε τον 3ο μηχανιμό, προτεινόμενο μοντέλο </t>
  </si>
  <si>
    <t>Απλή χρήση(ένα σετ)</t>
  </si>
  <si>
    <t>με σκούρο Γκρι καμπάκι</t>
  </si>
  <si>
    <t>power factor (LF)</t>
    <phoneticPr fontId="16" type="noConversion"/>
  </si>
  <si>
    <t>door weight, in kg</t>
    <phoneticPr fontId="16" type="noConversion"/>
  </si>
  <si>
    <t xml:space="preserve">Επίλεξε το υλικό της πόρτας από τη λίστακαι υπολόγισε το βάρος πόρτας και τον απαιτούμενοσυντελεστή δύναμης </t>
  </si>
  <si>
    <t>Ύψος, σε mm (max. 500мм)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</si>
</sst>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charset val="161"/>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9"/>
      <color theme="1"/>
      <name val="Calibri"/>
      <family val="2"/>
      <charset val="161"/>
      <scheme val="minor"/>
    </font>
    <font>
      <sz val="9"/>
      <color theme="1"/>
      <name val="Calibri"/>
      <family val="2"/>
      <scheme val="minor"/>
    </font>
    <font>
      <b/>
      <sz val="11"/>
      <color theme="0" tint="-4.9989318521683403E-2"/>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9" fillId="0" borderId="0" applyNumberFormat="0" applyFill="0" applyBorder="0" applyAlignment="0" applyProtection="0"/>
  </cellStyleXfs>
  <cellXfs count="184">
    <xf numFmtId="0" fontId="0" fillId="0" borderId="0" xfId="0"/>
    <xf numFmtId="0" fontId="0" fillId="0" borderId="1" xfId="0" applyBorder="1"/>
    <xf numFmtId="0" fontId="4" fillId="5" borderId="3" xfId="2" applyFont="1" applyFill="1" applyBorder="1" applyAlignment="1" applyProtection="1">
      <alignment horizontal="center" vertical="center"/>
      <protection hidden="1"/>
    </xf>
    <xf numFmtId="0" fontId="4" fillId="5" borderId="8" xfId="2" applyFont="1" applyFill="1" applyBorder="1" applyAlignment="1" applyProtection="1">
      <alignment horizontal="center" vertical="center"/>
      <protection hidden="1"/>
    </xf>
    <xf numFmtId="0" fontId="4" fillId="5" borderId="8" xfId="1" applyFont="1" applyFill="1" applyBorder="1" applyProtection="1">
      <protection hidden="1"/>
    </xf>
    <xf numFmtId="0" fontId="4" fillId="5" borderId="1" xfId="1" applyFont="1" applyFill="1" applyBorder="1" applyAlignment="1" applyProtection="1">
      <alignment horizontal="center"/>
      <protection hidden="1"/>
    </xf>
    <xf numFmtId="0" fontId="4" fillId="5" borderId="11" xfId="1" applyFont="1" applyFill="1" applyBorder="1" applyAlignment="1" applyProtection="1">
      <alignment horizontal="center"/>
      <protection hidden="1"/>
    </xf>
    <xf numFmtId="0" fontId="4" fillId="5" borderId="18" xfId="2" applyFont="1" applyFill="1" applyBorder="1" applyAlignment="1" applyProtection="1">
      <alignment horizontal="center" vertical="center"/>
      <protection hidden="1"/>
    </xf>
    <xf numFmtId="0" fontId="4" fillId="5" borderId="2" xfId="2" applyFont="1" applyFill="1" applyBorder="1" applyAlignment="1" applyProtection="1">
      <alignment horizontal="center" vertical="center"/>
      <protection hidden="1"/>
    </xf>
    <xf numFmtId="0" fontId="4" fillId="0" borderId="10" xfId="1" applyFont="1" applyFill="1" applyBorder="1" applyAlignment="1" applyProtection="1">
      <alignment horizontal="center" vertical="center"/>
      <protection locked="0" hidden="1"/>
    </xf>
    <xf numFmtId="0" fontId="4" fillId="0" borderId="11" xfId="1" applyFont="1" applyFill="1" applyBorder="1" applyAlignment="1" applyProtection="1">
      <alignment horizontal="center" vertical="center"/>
      <protection locked="0" hidden="1"/>
    </xf>
    <xf numFmtId="0" fontId="4"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2" fontId="4" fillId="5" borderId="11" xfId="0" applyNumberFormat="1" applyFont="1" applyFill="1" applyBorder="1" applyAlignment="1" applyProtection="1">
      <alignment horizontal="center" vertical="center"/>
      <protection hidden="1"/>
    </xf>
    <xf numFmtId="0" fontId="4" fillId="5" borderId="8" xfId="1" applyFont="1" applyFill="1" applyBorder="1" applyAlignment="1" applyProtection="1">
      <alignment horizontal="left" vertical="center"/>
      <protection hidden="1"/>
    </xf>
    <xf numFmtId="0" fontId="4" fillId="5" borderId="10" xfId="1" applyFont="1" applyFill="1" applyBorder="1" applyAlignment="1" applyProtection="1">
      <alignment horizontal="left" vertical="center"/>
      <protection hidden="1"/>
    </xf>
    <xf numFmtId="2" fontId="5" fillId="5" borderId="11" xfId="0" applyNumberFormat="1" applyFont="1" applyFill="1" applyBorder="1" applyAlignment="1" applyProtection="1">
      <alignment horizontal="center" vertical="center"/>
      <protection hidden="1"/>
    </xf>
    <xf numFmtId="0" fontId="4" fillId="5" borderId="13" xfId="1" applyFont="1" applyFill="1" applyBorder="1" applyAlignment="1" applyProtection="1">
      <alignment horizontal="left" vertical="center"/>
      <protection hidden="1"/>
    </xf>
    <xf numFmtId="0" fontId="5" fillId="5" borderId="19" xfId="2" applyFont="1" applyFill="1" applyBorder="1" applyAlignment="1" applyProtection="1">
      <alignment horizontal="center" vertical="center"/>
      <protection hidden="1"/>
    </xf>
    <xf numFmtId="0" fontId="17" fillId="5" borderId="19" xfId="2" applyFont="1" applyFill="1" applyBorder="1" applyAlignment="1" applyProtection="1">
      <alignment horizontal="center" vertical="center"/>
      <protection hidden="1"/>
    </xf>
    <xf numFmtId="0" fontId="0" fillId="0" borderId="0" xfId="0" applyAlignment="1">
      <alignment vertical="center" wrapText="1"/>
    </xf>
    <xf numFmtId="0" fontId="18" fillId="5" borderId="18" xfId="2" applyFont="1" applyFill="1" applyBorder="1" applyAlignment="1" applyProtection="1">
      <alignment horizontal="center" vertical="center"/>
      <protection hidden="1"/>
    </xf>
    <xf numFmtId="0" fontId="18" fillId="5" borderId="2" xfId="2" applyFont="1" applyFill="1" applyBorder="1" applyAlignment="1" applyProtection="1">
      <alignment horizontal="center" vertical="center"/>
      <protection hidden="1"/>
    </xf>
    <xf numFmtId="0" fontId="19" fillId="5" borderId="3"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8" fillId="5" borderId="8" xfId="2" applyFont="1" applyFill="1" applyBorder="1" applyAlignment="1" applyProtection="1">
      <alignment horizontal="center" vertical="center"/>
      <protection hidden="1"/>
    </xf>
    <xf numFmtId="0" fontId="18"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2" fillId="4" borderId="1" xfId="1" applyFont="1" applyFill="1" applyBorder="1" applyAlignment="1" applyProtection="1">
      <alignment horizontal="center" vertical="center" wrapText="1"/>
      <protection hidden="1"/>
    </xf>
    <xf numFmtId="2" fontId="4" fillId="5" borderId="3" xfId="0" applyNumberFormat="1" applyFont="1" applyFill="1" applyBorder="1" applyAlignment="1" applyProtection="1">
      <alignment horizontal="center" vertical="center"/>
      <protection hidden="1"/>
    </xf>
    <xf numFmtId="0" fontId="22" fillId="4" borderId="38" xfId="1" applyFont="1" applyFill="1" applyBorder="1" applyAlignment="1" applyProtection="1">
      <alignment horizontal="center" vertical="center" wrapText="1"/>
      <protection hidden="1"/>
    </xf>
    <xf numFmtId="0" fontId="22"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7" fillId="0" borderId="0" xfId="2" applyFont="1" applyFill="1" applyBorder="1" applyAlignment="1" applyProtection="1">
      <alignment horizontal="center" vertical="center"/>
      <protection hidden="1"/>
    </xf>
    <xf numFmtId="0" fontId="21" fillId="0" borderId="0" xfId="0" applyFont="1" applyAlignment="1">
      <alignment vertical="center" wrapText="1"/>
    </xf>
    <xf numFmtId="0" fontId="21" fillId="0" borderId="0" xfId="0" applyFont="1"/>
    <xf numFmtId="0" fontId="27" fillId="0" borderId="0" xfId="2"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0" fontId="25" fillId="8" borderId="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5" fillId="8" borderId="11" xfId="0" applyFont="1" applyFill="1" applyBorder="1" applyAlignment="1">
      <alignment horizontal="center" vertical="center" wrapText="1"/>
    </xf>
    <xf numFmtId="0" fontId="22" fillId="7" borderId="25" xfId="0" applyFont="1" applyFill="1" applyBorder="1" applyAlignment="1">
      <alignment horizontal="center" vertical="center"/>
    </xf>
    <xf numFmtId="0" fontId="22" fillId="7" borderId="30" xfId="0" applyFont="1" applyFill="1" applyBorder="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7" borderId="44" xfId="0" applyFont="1" applyFill="1" applyBorder="1" applyAlignment="1">
      <alignment horizontal="center" vertical="center" wrapText="1"/>
    </xf>
    <xf numFmtId="0" fontId="23" fillId="6" borderId="37" xfId="0" applyFont="1" applyFill="1" applyBorder="1" applyAlignment="1">
      <alignment horizontal="center" vertical="center" wrapText="1"/>
    </xf>
    <xf numFmtId="0" fontId="23" fillId="6" borderId="22" xfId="0" applyFont="1" applyFill="1" applyBorder="1" applyAlignment="1">
      <alignment horizontal="center" vertical="center"/>
    </xf>
    <xf numFmtId="0" fontId="23" fillId="6" borderId="23"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2" fontId="5" fillId="5" borderId="3" xfId="0" applyNumberFormat="1" applyFont="1" applyFill="1" applyBorder="1" applyAlignment="1" applyProtection="1">
      <alignment horizontal="center" vertical="center"/>
      <protection hidden="1"/>
    </xf>
    <xf numFmtId="0" fontId="28" fillId="0" borderId="0" xfId="0" applyFont="1" applyAlignment="1">
      <alignment horizontal="center" vertical="center"/>
    </xf>
    <xf numFmtId="0" fontId="4" fillId="5" borderId="1" xfId="2" applyFont="1" applyFill="1" applyBorder="1" applyAlignment="1" applyProtection="1">
      <alignment horizontal="left" vertical="center"/>
      <protection hidden="1"/>
    </xf>
    <xf numFmtId="0" fontId="29" fillId="9" borderId="1"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22" fillId="0" borderId="0" xfId="0" applyFont="1" applyAlignment="1">
      <alignment horizontal="center" vertical="center" wrapText="1"/>
    </xf>
    <xf numFmtId="0" fontId="4" fillId="5" borderId="1" xfId="1" applyFont="1" applyFill="1" applyBorder="1" applyAlignment="1" applyProtection="1">
      <alignment horizontal="left" vertical="center"/>
      <protection hidden="1"/>
    </xf>
    <xf numFmtId="0" fontId="23" fillId="9" borderId="1" xfId="0" applyFont="1" applyFill="1" applyBorder="1" applyAlignment="1">
      <alignment horizontal="center" vertical="center"/>
    </xf>
    <xf numFmtId="0" fontId="22" fillId="7" borderId="9" xfId="0" applyFont="1" applyFill="1" applyBorder="1" applyAlignment="1">
      <alignment horizontal="center" vertical="center"/>
    </xf>
    <xf numFmtId="0" fontId="0" fillId="0" borderId="0" xfId="0" applyProtection="1">
      <protection locked="0" hidden="1"/>
    </xf>
    <xf numFmtId="0" fontId="4" fillId="5" borderId="3" xfId="1" applyFont="1" applyFill="1" applyBorder="1" applyAlignment="1" applyProtection="1">
      <alignment horizontal="left" vertical="center"/>
      <protection hidden="1"/>
    </xf>
    <xf numFmtId="0" fontId="5" fillId="5" borderId="3" xfId="1" applyFont="1" applyFill="1" applyBorder="1" applyAlignment="1" applyProtection="1">
      <alignment horizontal="center"/>
      <protection hidden="1"/>
    </xf>
    <xf numFmtId="0" fontId="23" fillId="9" borderId="3" xfId="0" applyFont="1" applyFill="1" applyBorder="1" applyAlignment="1">
      <alignment horizontal="center" vertical="center"/>
    </xf>
    <xf numFmtId="0" fontId="22" fillId="7" borderId="46" xfId="0" applyFont="1" applyFill="1" applyBorder="1" applyAlignment="1">
      <alignment horizontal="center" vertical="center"/>
    </xf>
    <xf numFmtId="0" fontId="5" fillId="5" borderId="1" xfId="2" applyFont="1" applyFill="1" applyBorder="1" applyAlignment="1" applyProtection="1">
      <alignment horizontal="center" vertical="center"/>
      <protection hidden="1"/>
    </xf>
    <xf numFmtId="0" fontId="18" fillId="0" borderId="3" xfId="1" applyFont="1" applyFill="1" applyBorder="1" applyAlignment="1" applyProtection="1">
      <alignment horizontal="center" vertical="center"/>
      <protection locked="0" hidden="1"/>
    </xf>
    <xf numFmtId="0" fontId="33" fillId="0" borderId="27" xfId="0" applyFont="1" applyBorder="1" applyAlignment="1">
      <alignment horizontal="left" wrapText="1"/>
    </xf>
    <xf numFmtId="0" fontId="24" fillId="7" borderId="11" xfId="0" applyFont="1" applyFill="1" applyBorder="1" applyAlignment="1">
      <alignment horizontal="center" vertical="center"/>
    </xf>
    <xf numFmtId="0" fontId="24" fillId="7" borderId="12" xfId="0" applyFont="1" applyFill="1" applyBorder="1" applyAlignment="1">
      <alignment horizontal="center" vertical="center"/>
    </xf>
    <xf numFmtId="0" fontId="26" fillId="7" borderId="38" xfId="0" applyFont="1" applyFill="1" applyBorder="1" applyAlignment="1">
      <alignment horizontal="center" vertical="center"/>
    </xf>
    <xf numFmtId="0" fontId="26" fillId="7" borderId="39"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9" xfId="0" applyFont="1" applyFill="1" applyBorder="1" applyAlignment="1">
      <alignment horizontal="center" vertical="center"/>
    </xf>
    <xf numFmtId="0" fontId="7" fillId="4" borderId="36" xfId="1" applyFont="1" applyFill="1" applyBorder="1" applyAlignment="1" applyProtection="1">
      <alignment horizontal="center" vertical="center"/>
      <protection hidden="1"/>
    </xf>
    <xf numFmtId="0" fontId="7" fillId="4" borderId="35" xfId="1" applyFont="1" applyFill="1" applyBorder="1" applyAlignment="1" applyProtection="1">
      <alignment horizontal="center" vertical="center"/>
      <protection hidden="1"/>
    </xf>
    <xf numFmtId="0" fontId="7" fillId="4" borderId="15" xfId="1" applyFont="1" applyFill="1" applyBorder="1" applyAlignment="1" applyProtection="1">
      <alignment horizontal="center" vertical="center"/>
      <protection hidden="1"/>
    </xf>
    <xf numFmtId="0" fontId="9"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5" fillId="5" borderId="1" xfId="1" applyFont="1" applyFill="1" applyBorder="1" applyAlignment="1" applyProtection="1">
      <alignment horizontal="center"/>
      <protection hidden="1"/>
    </xf>
    <xf numFmtId="0" fontId="5" fillId="5" borderId="9" xfId="1" applyFont="1" applyFill="1" applyBorder="1" applyAlignment="1" applyProtection="1">
      <alignment horizontal="center"/>
      <protection hidden="1"/>
    </xf>
    <xf numFmtId="0" fontId="13" fillId="0" borderId="26" xfId="0" applyFont="1" applyBorder="1" applyAlignment="1" applyProtection="1">
      <alignment horizontal="left" vertical="center"/>
      <protection hidden="1"/>
    </xf>
    <xf numFmtId="0" fontId="10" fillId="0" borderId="27" xfId="0" applyFont="1" applyBorder="1" applyAlignment="1" applyProtection="1">
      <alignment horizontal="left" vertical="center"/>
      <protection hidden="1"/>
    </xf>
    <xf numFmtId="0" fontId="10" fillId="0" borderId="24" xfId="0"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25" xfId="0" applyFont="1" applyBorder="1" applyAlignment="1" applyProtection="1">
      <alignment horizontal="left" vertical="center"/>
      <protection hidden="1"/>
    </xf>
    <xf numFmtId="0" fontId="10" fillId="0" borderId="29" xfId="0" applyFont="1" applyBorder="1" applyAlignment="1" applyProtection="1">
      <alignment horizontal="left" vertical="center"/>
      <protection hidden="1"/>
    </xf>
    <xf numFmtId="0" fontId="10" fillId="0" borderId="20" xfId="0" applyFont="1" applyBorder="1" applyAlignment="1" applyProtection="1">
      <alignment horizontal="left" vertical="center"/>
      <protection hidden="1"/>
    </xf>
    <xf numFmtId="0" fontId="10" fillId="0" borderId="30" xfId="0" applyFont="1" applyBorder="1" applyAlignment="1" applyProtection="1">
      <alignment horizontal="left" vertical="center"/>
      <protection hidden="1"/>
    </xf>
    <xf numFmtId="0" fontId="7" fillId="4" borderId="21" xfId="1" applyFont="1" applyFill="1" applyBorder="1" applyAlignment="1" applyProtection="1">
      <alignment horizontal="center" vertical="center"/>
      <protection hidden="1"/>
    </xf>
    <xf numFmtId="0" fontId="7" fillId="4" borderId="22" xfId="1" applyFont="1" applyFill="1" applyBorder="1" applyAlignment="1" applyProtection="1">
      <alignment horizontal="center" vertical="center"/>
      <protection hidden="1"/>
    </xf>
    <xf numFmtId="0" fontId="7" fillId="4" borderId="23" xfId="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protection hidden="1"/>
    </xf>
    <xf numFmtId="0" fontId="6" fillId="4" borderId="6" xfId="1" applyFont="1" applyFill="1" applyBorder="1" applyAlignment="1" applyProtection="1">
      <alignment horizontal="center" vertical="center"/>
      <protection hidden="1"/>
    </xf>
    <xf numFmtId="0" fontId="6" fillId="4" borderId="7" xfId="1" applyFont="1" applyFill="1" applyBorder="1" applyAlignment="1" applyProtection="1">
      <alignment horizontal="center" vertical="center"/>
      <protection hidden="1"/>
    </xf>
    <xf numFmtId="0" fontId="2" fillId="4" borderId="13" xfId="1" applyFill="1" applyBorder="1" applyAlignment="1" applyProtection="1">
      <alignment horizontal="center"/>
      <protection hidden="1"/>
    </xf>
    <xf numFmtId="0" fontId="2" fillId="4" borderId="15" xfId="1" applyFill="1" applyBorder="1" applyAlignment="1" applyProtection="1">
      <alignment horizontal="center"/>
      <protection hidden="1"/>
    </xf>
    <xf numFmtId="0" fontId="18" fillId="5" borderId="4" xfId="2" applyFont="1" applyFill="1" applyBorder="1" applyAlignment="1" applyProtection="1">
      <alignment horizontal="center" vertical="center"/>
      <protection hidden="1"/>
    </xf>
    <xf numFmtId="0" fontId="18" fillId="5" borderId="14" xfId="2" applyFont="1" applyFill="1" applyBorder="1" applyAlignment="1" applyProtection="1">
      <alignment horizontal="center" vertical="center"/>
      <protection hidden="1"/>
    </xf>
    <xf numFmtId="1" fontId="19" fillId="5" borderId="16" xfId="0" applyNumberFormat="1" applyFont="1" applyFill="1" applyBorder="1" applyAlignment="1" applyProtection="1">
      <alignment horizontal="center" vertical="center"/>
      <protection hidden="1"/>
    </xf>
    <xf numFmtId="1" fontId="19"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8" fillId="5" borderId="0" xfId="2" applyFont="1" applyFill="1" applyBorder="1" applyAlignment="1" applyProtection="1">
      <alignment horizontal="center" vertical="center"/>
      <protection hidden="1"/>
    </xf>
    <xf numFmtId="0" fontId="8" fillId="5" borderId="20" xfId="2"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protection hidden="1"/>
    </xf>
    <xf numFmtId="0" fontId="6" fillId="4" borderId="32" xfId="1" applyFont="1" applyFill="1" applyBorder="1" applyAlignment="1" applyProtection="1">
      <alignment horizontal="center" vertical="center"/>
      <protection hidden="1"/>
    </xf>
    <xf numFmtId="0" fontId="6" fillId="4" borderId="33" xfId="1"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wrapText="1"/>
      <protection hidden="1"/>
    </xf>
    <xf numFmtId="0" fontId="6" fillId="4" borderId="32" xfId="1" applyFont="1" applyFill="1" applyBorder="1" applyAlignment="1" applyProtection="1">
      <alignment horizontal="center" vertical="center" wrapText="1"/>
      <protection hidden="1"/>
    </xf>
    <xf numFmtId="0" fontId="6" fillId="4" borderId="33" xfId="1" applyFont="1" applyFill="1" applyBorder="1" applyAlignment="1" applyProtection="1">
      <alignment horizontal="center" vertical="center" wrapText="1"/>
      <protection hidden="1"/>
    </xf>
    <xf numFmtId="0" fontId="18" fillId="5" borderId="1" xfId="2" applyFont="1" applyFill="1" applyBorder="1" applyAlignment="1" applyProtection="1">
      <alignment horizontal="center" vertical="center"/>
      <protection hidden="1"/>
    </xf>
    <xf numFmtId="0" fontId="18" fillId="5" borderId="9" xfId="2" applyFont="1" applyFill="1" applyBorder="1" applyAlignment="1" applyProtection="1">
      <alignment horizontal="center" vertical="center"/>
      <protection hidden="1"/>
    </xf>
    <xf numFmtId="0" fontId="5" fillId="5" borderId="11" xfId="1" applyFont="1" applyFill="1" applyBorder="1" applyAlignment="1" applyProtection="1">
      <alignment horizontal="center"/>
      <protection hidden="1"/>
    </xf>
    <xf numFmtId="0" fontId="5" fillId="5" borderId="12" xfId="1" applyFont="1" applyFill="1" applyBorder="1" applyAlignment="1" applyProtection="1">
      <alignment horizontal="center"/>
      <protection hidden="1"/>
    </xf>
    <xf numFmtId="0" fontId="6" fillId="4" borderId="5" xfId="1" applyFont="1" applyFill="1" applyBorder="1" applyAlignment="1" applyProtection="1">
      <alignment horizontal="center" vertical="center" wrapText="1"/>
      <protection hidden="1"/>
    </xf>
    <xf numFmtId="0" fontId="6" fillId="4" borderId="6" xfId="1" applyFont="1" applyFill="1" applyBorder="1" applyAlignment="1" applyProtection="1">
      <alignment horizontal="center" vertical="center" wrapText="1"/>
      <protection hidden="1"/>
    </xf>
    <xf numFmtId="0" fontId="6" fillId="4" borderId="7" xfId="1" applyFont="1" applyFill="1" applyBorder="1" applyAlignment="1" applyProtection="1">
      <alignment horizontal="center" vertical="center" wrapText="1"/>
      <protection hidden="1"/>
    </xf>
    <xf numFmtId="0" fontId="10" fillId="0" borderId="26" xfId="0" applyFont="1" applyBorder="1" applyAlignment="1" applyProtection="1">
      <alignment horizontal="left" vertical="center"/>
      <protection hidden="1"/>
    </xf>
    <xf numFmtId="0" fontId="32" fillId="0" borderId="27" xfId="0" applyFont="1" applyBorder="1" applyAlignment="1">
      <alignment horizontal="left" wrapText="1"/>
    </xf>
    <xf numFmtId="0" fontId="0" fillId="0" borderId="27" xfId="0" applyBorder="1" applyAlignment="1">
      <alignment horizontal="left" wrapText="1"/>
    </xf>
    <xf numFmtId="1" fontId="5" fillId="5" borderId="16" xfId="0" applyNumberFormat="1" applyFont="1" applyFill="1" applyBorder="1" applyAlignment="1" applyProtection="1">
      <alignment horizontal="center" vertical="center"/>
      <protection hidden="1"/>
    </xf>
    <xf numFmtId="1" fontId="5" fillId="5" borderId="17" xfId="0" applyNumberFormat="1" applyFont="1" applyFill="1" applyBorder="1" applyAlignment="1" applyProtection="1">
      <alignment horizontal="center" vertical="center"/>
      <protection hidden="1"/>
    </xf>
    <xf numFmtId="0" fontId="22" fillId="4" borderId="41" xfId="1" applyFont="1" applyFill="1" applyBorder="1" applyAlignment="1" applyProtection="1">
      <alignment horizontal="center" vertical="center" wrapText="1"/>
      <protection hidden="1"/>
    </xf>
    <xf numFmtId="0" fontId="22" fillId="4" borderId="42" xfId="1"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2" fontId="18" fillId="8" borderId="39" xfId="0" applyNumberFormat="1" applyFont="1" applyFill="1" applyBorder="1" applyAlignment="1" applyProtection="1">
      <alignment horizontal="center" vertical="center"/>
      <protection hidden="1"/>
    </xf>
    <xf numFmtId="0" fontId="25" fillId="8" borderId="16"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 fillId="4" borderId="35" xfId="1" applyFill="1" applyBorder="1" applyAlignment="1" applyProtection="1">
      <alignment horizontal="center"/>
      <protection hidden="1"/>
    </xf>
    <xf numFmtId="0" fontId="5" fillId="5" borderId="4" xfId="2" applyFont="1" applyFill="1" applyBorder="1" applyAlignment="1" applyProtection="1">
      <alignment horizontal="center" vertical="center"/>
      <protection hidden="1"/>
    </xf>
    <xf numFmtId="0" fontId="5" fillId="5" borderId="14" xfId="2" applyFont="1" applyFill="1" applyBorder="1" applyAlignment="1" applyProtection="1">
      <alignment horizontal="center" vertical="center"/>
      <protection hidden="1"/>
    </xf>
    <xf numFmtId="1" fontId="5" fillId="5" borderId="4" xfId="0" applyNumberFormat="1" applyFont="1" applyFill="1" applyBorder="1" applyAlignment="1" applyProtection="1">
      <alignment horizontal="center" vertical="center"/>
      <protection hidden="1"/>
    </xf>
    <xf numFmtId="1" fontId="5" fillId="5" borderId="14" xfId="0" applyNumberFormat="1" applyFont="1" applyFill="1" applyBorder="1" applyAlignment="1" applyProtection="1">
      <alignment horizontal="center" vertical="center"/>
      <protection hidden="1"/>
    </xf>
    <xf numFmtId="0" fontId="28" fillId="0" borderId="43" xfId="0" applyFont="1" applyBorder="1" applyAlignment="1">
      <alignment horizontal="center" vertical="center"/>
    </xf>
    <xf numFmtId="0" fontId="28" fillId="0" borderId="44" xfId="0" applyFont="1" applyBorder="1" applyAlignment="1">
      <alignment horizontal="center" vertical="center"/>
    </xf>
    <xf numFmtId="0" fontId="7" fillId="4" borderId="28" xfId="1" applyFont="1" applyFill="1" applyBorder="1" applyAlignment="1" applyProtection="1">
      <alignment horizontal="center" vertical="center"/>
      <protection hidden="1"/>
    </xf>
    <xf numFmtId="0" fontId="9" fillId="0" borderId="28" xfId="3" applyBorder="1" applyAlignment="1" applyProtection="1">
      <alignment horizontal="center" vertical="center"/>
      <protection hidden="1"/>
    </xf>
    <xf numFmtId="0" fontId="9" fillId="0" borderId="0" xfId="3" applyBorder="1" applyAlignment="1" applyProtection="1">
      <alignment horizontal="center" vertical="center"/>
      <protection hidden="1"/>
    </xf>
    <xf numFmtId="0" fontId="9" fillId="0" borderId="25" xfId="3" applyBorder="1" applyAlignment="1" applyProtection="1">
      <alignment horizontal="center" vertical="center"/>
      <protection hidden="1"/>
    </xf>
    <xf numFmtId="0" fontId="9" fillId="0" borderId="29" xfId="3" applyBorder="1" applyAlignment="1" applyProtection="1">
      <alignment horizontal="center" vertical="center"/>
      <protection hidden="1"/>
    </xf>
    <xf numFmtId="0" fontId="9" fillId="0" borderId="20" xfId="3" applyBorder="1" applyAlignment="1" applyProtection="1">
      <alignment horizontal="center" vertical="center"/>
      <protection hidden="1"/>
    </xf>
    <xf numFmtId="0" fontId="9" fillId="0" borderId="30" xfId="3" applyBorder="1" applyAlignment="1" applyProtection="1">
      <alignment horizontal="center" vertical="center"/>
      <protection hidden="1"/>
    </xf>
    <xf numFmtId="0" fontId="23" fillId="10" borderId="47" xfId="0" applyFont="1" applyFill="1" applyBorder="1" applyAlignment="1">
      <alignment horizontal="center" vertical="center"/>
    </xf>
    <xf numFmtId="0" fontId="23" fillId="10" borderId="48" xfId="0" applyFont="1" applyFill="1" applyBorder="1" applyAlignment="1">
      <alignment horizontal="center" vertical="center"/>
    </xf>
    <xf numFmtId="0" fontId="4" fillId="5" borderId="47" xfId="1" applyFont="1" applyFill="1" applyBorder="1" applyAlignment="1" applyProtection="1">
      <alignment horizontal="center" vertical="center"/>
      <protection hidden="1"/>
    </xf>
    <xf numFmtId="0" fontId="4" fillId="5" borderId="34" xfId="1" applyFont="1" applyFill="1" applyBorder="1" applyAlignment="1" applyProtection="1">
      <alignment horizontal="center" vertical="center"/>
      <protection hidden="1"/>
    </xf>
    <xf numFmtId="0" fontId="5" fillId="5" borderId="3" xfId="1" applyFont="1" applyFill="1" applyBorder="1" applyAlignment="1" applyProtection="1">
      <alignment horizontal="center"/>
      <protection hidden="1"/>
    </xf>
    <xf numFmtId="0" fontId="6" fillId="4" borderId="38" xfId="1" applyFont="1" applyFill="1" applyBorder="1" applyAlignment="1" applyProtection="1">
      <alignment horizontal="center" vertical="center" wrapText="1"/>
      <protection hidden="1"/>
    </xf>
    <xf numFmtId="0" fontId="6" fillId="4" borderId="39" xfId="1" applyFont="1" applyFill="1" applyBorder="1" applyAlignment="1" applyProtection="1">
      <alignment horizontal="center" vertical="center" wrapText="1"/>
      <protection hidden="1"/>
    </xf>
    <xf numFmtId="0" fontId="31" fillId="10" borderId="47" xfId="1" applyFont="1" applyFill="1" applyBorder="1" applyAlignment="1" applyProtection="1">
      <alignment horizontal="center" vertical="center" wrapText="1"/>
      <protection hidden="1"/>
    </xf>
    <xf numFmtId="0" fontId="6" fillId="10" borderId="34" xfId="1" applyFont="1" applyFill="1" applyBorder="1" applyAlignment="1" applyProtection="1">
      <alignment horizontal="center" vertical="center" wrapText="1"/>
      <protection hidden="1"/>
    </xf>
    <xf numFmtId="0" fontId="4" fillId="5" borderId="1" xfId="2" applyFont="1" applyFill="1" applyBorder="1" applyAlignment="1" applyProtection="1">
      <alignment horizontal="center" vertical="center"/>
      <protection hidden="1"/>
    </xf>
    <xf numFmtId="0" fontId="31" fillId="10" borderId="48" xfId="1" applyFont="1" applyFill="1" applyBorder="1" applyAlignment="1" applyProtection="1">
      <alignment horizontal="center" vertical="center" wrapText="1"/>
      <protection hidden="1"/>
    </xf>
    <xf numFmtId="0" fontId="4" fillId="5" borderId="16" xfId="1" applyFont="1" applyFill="1" applyBorder="1" applyAlignment="1" applyProtection="1">
      <alignment horizontal="center" vertical="center"/>
      <protection hidden="1"/>
    </xf>
    <xf numFmtId="0" fontId="4" fillId="5" borderId="49" xfId="1" applyFont="1" applyFill="1" applyBorder="1" applyAlignment="1" applyProtection="1">
      <alignment horizontal="center" vertical="center"/>
      <protection hidden="1"/>
    </xf>
    <xf numFmtId="0" fontId="23" fillId="10" borderId="16" xfId="0" applyFont="1" applyFill="1" applyBorder="1" applyAlignment="1">
      <alignment horizontal="center" vertical="center"/>
    </xf>
    <xf numFmtId="0" fontId="23" fillId="10" borderId="17" xfId="0" applyFont="1" applyFill="1" applyBorder="1" applyAlignment="1">
      <alignment horizontal="center" vertical="center"/>
    </xf>
    <xf numFmtId="0" fontId="7" fillId="4" borderId="45" xfId="1" applyFont="1" applyFill="1" applyBorder="1" applyAlignment="1" applyProtection="1">
      <alignment horizontal="center" vertical="center"/>
      <protection hidden="1"/>
    </xf>
    <xf numFmtId="0" fontId="7" fillId="4" borderId="8" xfId="1" applyFont="1" applyFill="1" applyBorder="1" applyAlignment="1" applyProtection="1">
      <alignment horizontal="center" vertical="center"/>
      <protection hidden="1"/>
    </xf>
    <xf numFmtId="0" fontId="7" fillId="4" borderId="13" xfId="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protection hidden="1"/>
    </xf>
    <xf numFmtId="0" fontId="6" fillId="4" borderId="39" xfId="1" applyFont="1" applyFill="1" applyBorder="1" applyAlignment="1" applyProtection="1">
      <alignment horizontal="center" vertical="center"/>
      <protection hidden="1"/>
    </xf>
    <xf numFmtId="0" fontId="2" fillId="4" borderId="1" xfId="1" applyFill="1" applyBorder="1" applyAlignment="1" applyProtection="1">
      <alignment horizontal="center"/>
      <protection hidden="1"/>
    </xf>
    <xf numFmtId="0" fontId="2" fillId="4" borderId="3" xfId="1" applyFill="1" applyBorder="1" applyAlignment="1" applyProtection="1">
      <alignment horizontal="center"/>
      <protection hidden="1"/>
    </xf>
    <xf numFmtId="0" fontId="4" fillId="5" borderId="9" xfId="2" applyFont="1" applyFill="1" applyBorder="1" applyAlignment="1" applyProtection="1">
      <alignment horizontal="center" vertical="center"/>
      <protection hidden="1"/>
    </xf>
    <xf numFmtId="0" fontId="4" fillId="5" borderId="3" xfId="2" applyFont="1" applyFill="1" applyBorder="1" applyAlignment="1" applyProtection="1">
      <alignment horizontal="center" vertical="center"/>
      <protection hidden="1"/>
    </xf>
    <xf numFmtId="0" fontId="4" fillId="5" borderId="46" xfId="2" applyFont="1" applyFill="1" applyBorder="1" applyAlignment="1" applyProtection="1">
      <alignment horizontal="center" vertical="center"/>
      <protection hidden="1"/>
    </xf>
    <xf numFmtId="1" fontId="5" fillId="5" borderId="3" xfId="0" applyNumberFormat="1" applyFont="1" applyFill="1" applyBorder="1" applyAlignment="1" applyProtection="1">
      <alignment horizontal="center" vertical="center"/>
      <protection hidden="1"/>
    </xf>
    <xf numFmtId="0" fontId="8" fillId="5" borderId="1" xfId="2" applyFont="1" applyFill="1" applyBorder="1" applyAlignment="1" applyProtection="1">
      <alignment horizontal="center" vertical="center"/>
      <protection hidden="1"/>
    </xf>
    <xf numFmtId="0" fontId="8"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27" xfId="0" applyBorder="1" applyAlignment="1">
      <alignment wrapText="1"/>
    </xf>
    <xf numFmtId="0" fontId="1" fillId="0" borderId="27" xfId="0" applyFont="1" applyBorder="1" applyAlignment="1">
      <alignment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1"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24" fmlaRange="$G$31:$G$39" sel="7" val="0"/>
</file>

<file path=xl/ctrlProps/ctrlProp6.xml><?xml version="1.0" encoding="utf-8"?>
<formControlPr xmlns="http://schemas.microsoft.com/office/spreadsheetml/2009/9/main" objectType="Drop" dropLines="10" dropStyle="combo" dx="26" fmlaLink="$J$1" fmlaRange="$G$8:$G$16" sel="5" val="0"/>
</file>

<file path=xl/ctrlProps/ctrlProp7.xml><?xml version="1.0" encoding="utf-8"?>
<formControlPr xmlns="http://schemas.microsoft.com/office/spreadsheetml/2009/9/main" objectType="Drop" dropLines="10" dropStyle="combo" dx="26" fmlaLink="$J$1" fmlaRange="$G$8:$G$16" sel="7" val="0"/>
</file>

<file path=xl/ctrlProps/ctrlProp8.xml><?xml version="1.0" encoding="utf-8"?>
<formControlPr xmlns="http://schemas.microsoft.com/office/spreadsheetml/2009/9/main" objectType="Drop" dropLines="10" dropStyle="combo" dx="26" fmlaLink="$J$1" fmlaRange="$G$8:$G$16" sel="7" val="0"/>
</file>

<file path=xl/ctrlProps/ctrlProp9.xml><?xml version="1.0" encoding="utf-8"?>
<formControlPr xmlns="http://schemas.microsoft.com/office/spreadsheetml/2009/9/main" objectType="Drop" dropLines="10" dropStyle="combo" dx="26" fmlaLink="$J$26" fmlaRange="$G$33:$G$39" sel="6" val="0"/>
</file>

<file path=xl/ctrlProps/ctrlProp10.xml><?xml version="1.0" encoding="utf-8"?>
<formControlPr xmlns="http://schemas.microsoft.com/office/spreadsheetml/2009/9/main" objectType="Drop" dropLines="10" dropStyle="combo" dx="26" fmlaLink="$K$1" fmlaRange="$H$8:$H$16" sel="4" val="0"/>
</file>

<file path=xl/ctrlProps/ctrlProp11.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2.tiff"/></Relationships>
</file>

<file path=xl/drawings/_rels/drawing4.xml.rels><?xml version="1.0" encoding="UTF-8" standalone="yes"?>
<Relationships xmlns="http://schemas.openxmlformats.org/package/2006/relationships"><Relationship Id="rId1" Type="http://schemas.openxmlformats.org/officeDocument/2006/relationships/image" Target="../media/image2.tiff"/></Relationships>
</file>

<file path=xl/drawings/_rels/drawing5.xml.rels><?xml version="1.0" encoding="UTF-8" standalone="yes"?>
<Relationships xmlns="http://schemas.openxmlformats.org/package/2006/relationships"><Relationship Id="rId1" Type="http://schemas.openxmlformats.org/officeDocument/2006/relationships/image" Target="../media/image3.tiff"/></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1452671</xdr:colOff>
      <xdr:row>0</xdr:row>
      <xdr:rowOff>81057</xdr:rowOff>
    </xdr:from>
    <xdr:ext cx="2753690" cy="1924451"/>
    <xdr:pic>
      <xdr:nvPicPr>
        <xdr:cNvPr id="2" name="Рисунок 2">
          <a:extLst>
            <a:ext uri="{FF2B5EF4-FFF2-40B4-BE49-F238E27FC236}">
              <a16:creationId xmlns:a16="http://schemas.microsoft.com/office/drawing/2014/main" id="{74367D2D-96B7-4E8A-AE49-0ECA04956F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4146" y="81057"/>
          <a:ext cx="2753690" cy="1924451"/>
        </a:xfrm>
        <a:prstGeom prst="rect">
          <a:avLst/>
        </a:prstGeom>
        <a:solidFill>
          <a:srgbClr val="FF0000"/>
        </a:solidFill>
        <a:effectLst>
          <a:glow rad="127000">
            <a:srgbClr val="C61C34">
              <a:alpha val="60000"/>
            </a:srgbClr>
          </a:glow>
        </a:effectLst>
      </xdr:spPr>
    </xdr:pic>
    <xdr:clientData/>
  </xdr:oneCellAnchor>
  <xdr:oneCellAnchor>
    <xdr:from>
      <xdr:col>1</xdr:col>
      <xdr:colOff>28777</xdr:colOff>
      <xdr:row>3</xdr:row>
      <xdr:rowOff>83637</xdr:rowOff>
    </xdr:from>
    <xdr:ext cx="3286798" cy="433452"/>
    <xdr:sp macro="" textlink="">
      <xdr:nvSpPr>
        <xdr:cNvPr id="3" name="Прямоугольник 4">
          <a:extLst>
            <a:ext uri="{FF2B5EF4-FFF2-40B4-BE49-F238E27FC236}">
              <a16:creationId xmlns:a16="http://schemas.microsoft.com/office/drawing/2014/main" id="{3094CDEA-F11E-4E9E-98A6-E0F5BCA9C190}"/>
            </a:ext>
          </a:extLst>
        </xdr:cNvPr>
        <xdr:cNvSpPr/>
      </xdr:nvSpPr>
      <xdr:spPr>
        <a:xfrm>
          <a:off x="638377" y="655137"/>
          <a:ext cx="3286798"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4" name="Рисунок 5">
          <a:extLst>
            <a:ext uri="{FF2B5EF4-FFF2-40B4-BE49-F238E27FC236}">
              <a16:creationId xmlns:a16="http://schemas.microsoft.com/office/drawing/2014/main" id="{E1BDFFE1-634B-405F-B906-3CD15909A2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5389" y="5034057"/>
          <a:ext cx="2889622" cy="1933545"/>
        </a:xfrm>
        <a:prstGeom prst="rect">
          <a:avLst/>
        </a:prstGeom>
        <a:solidFill>
          <a:srgbClr val="FF0000"/>
        </a:solidFill>
        <a:effectLst>
          <a:glow rad="127000">
            <a:srgbClr val="C61C34">
              <a:alpha val="60000"/>
            </a:srgbClr>
          </a:glow>
        </a:effectLst>
      </xdr:spPr>
    </xdr:pic>
    <xdr:clientData/>
  </xdr:oneCellAnchor>
  <xdr:oneCellAnchor>
    <xdr:from>
      <xdr:col>1</xdr:col>
      <xdr:colOff>251074</xdr:colOff>
      <xdr:row>30</xdr:row>
      <xdr:rowOff>21350</xdr:rowOff>
    </xdr:from>
    <xdr:ext cx="2913426" cy="399405"/>
    <xdr:sp macro="" textlink="">
      <xdr:nvSpPr>
        <xdr:cNvPr id="5" name="Прямоугольник 7">
          <a:extLst>
            <a:ext uri="{FF2B5EF4-FFF2-40B4-BE49-F238E27FC236}">
              <a16:creationId xmlns:a16="http://schemas.microsoft.com/office/drawing/2014/main" id="{B3F57762-18E5-4908-BF1A-E4DCFDEABCC2}"/>
            </a:ext>
          </a:extLst>
        </xdr:cNvPr>
        <xdr:cNvSpPr/>
      </xdr:nvSpPr>
      <xdr:spPr>
        <a:xfrm>
          <a:off x="860674" y="5736350"/>
          <a:ext cx="2913426"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45799" y="3563178"/>
        <xdr:ext cx="2105025" cy="484119"/>
        <xdr:sp macro="" textlink="">
          <xdr:nvSpPr>
            <xdr:cNvPr id="13313" name="Drop Down 1" hidden="1">
              <a:extLst>
                <a:ext uri="{63B3BB69-23CF-44E3-9099-C40C66FF867C}">
                  <a14:compatExt spid="_x0000_s13313"/>
                </a:ext>
                <a:ext uri="{FF2B5EF4-FFF2-40B4-BE49-F238E27FC236}">
                  <a16:creationId xmlns:a16="http://schemas.microsoft.com/office/drawing/2014/main" id="{3F355538-DBCE-42B1-8DA9-06AAB7AC806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9E93A25-B794-4A0B-92DE-7E44326555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152400</xdr:colOff>
          <xdr:row>26</xdr:row>
          <xdr:rowOff>161925</xdr:rowOff>
        </xdr:from>
        <xdr:ext cx="1784074" cy="609600"/>
        <xdr:sp macro="" textlink="">
          <xdr:nvSpPr>
            <xdr:cNvPr id="13315" name="Object 3" hidden="1">
              <a:extLst>
                <a:ext uri="{63B3BB69-23CF-44E3-9099-C40C66FF867C}">
                  <a14:compatExt spid="_x0000_s13315"/>
                </a:ext>
                <a:ext uri="{FF2B5EF4-FFF2-40B4-BE49-F238E27FC236}">
                  <a16:creationId xmlns:a16="http://schemas.microsoft.com/office/drawing/2014/main" id="{0CF7AB13-148A-4F6B-A9C2-85CA9F10D9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absoluteAnchor>
        <xdr:pos x="393424" y="12184546"/>
        <xdr:ext cx="2057400" cy="495300"/>
        <xdr:sp macro="" textlink="">
          <xdr:nvSpPr>
            <xdr:cNvPr id="13316" name="Drop Down 4" hidden="1">
              <a:extLst>
                <a:ext uri="{63B3BB69-23CF-44E3-9099-C40C66FF867C}">
                  <a14:compatExt spid="_x0000_s13316"/>
                </a:ext>
                <a:ext uri="{FF2B5EF4-FFF2-40B4-BE49-F238E27FC236}">
                  <a16:creationId xmlns:a16="http://schemas.microsoft.com/office/drawing/2014/main" id="{8CF4FE84-86F2-446E-9D8E-F7613A8C4BB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1326777</xdr:colOff>
      <xdr:row>0</xdr:row>
      <xdr:rowOff>81057</xdr:rowOff>
    </xdr:from>
    <xdr:ext cx="2753690" cy="1924451"/>
    <xdr:pic>
      <xdr:nvPicPr>
        <xdr:cNvPr id="2" name="Рисунок 1">
          <a:extLst>
            <a:ext uri="{FF2B5EF4-FFF2-40B4-BE49-F238E27FC236}">
              <a16:creationId xmlns:a16="http://schemas.microsoft.com/office/drawing/2014/main" id="{66A9768C-83F4-406F-80BF-CA237ED13F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1602" y="81057"/>
          <a:ext cx="2753690" cy="1924451"/>
        </a:xfrm>
        <a:prstGeom prst="rect">
          <a:avLst/>
        </a:prstGeom>
        <a:solidFill>
          <a:srgbClr val="FF0000"/>
        </a:solidFill>
        <a:effectLst>
          <a:glow rad="127000">
            <a:srgbClr val="C61C34">
              <a:alpha val="60000"/>
            </a:srgbClr>
          </a:glow>
        </a:effectLst>
      </xdr:spPr>
    </xdr:pic>
    <xdr:clientData/>
  </xdr:oneCellAnchor>
  <xdr:oneCellAnchor>
    <xdr:from>
      <xdr:col>0</xdr:col>
      <xdr:colOff>272835</xdr:colOff>
      <xdr:row>3</xdr:row>
      <xdr:rowOff>83637</xdr:rowOff>
    </xdr:from>
    <xdr:ext cx="3431965" cy="433452"/>
    <xdr:sp macro="" textlink="">
      <xdr:nvSpPr>
        <xdr:cNvPr id="3" name="Прямоугольник 12">
          <a:extLst>
            <a:ext uri="{FF2B5EF4-FFF2-40B4-BE49-F238E27FC236}">
              <a16:creationId xmlns:a16="http://schemas.microsoft.com/office/drawing/2014/main" id="{77652CA1-54EB-4170-8899-DEFC1ED968B7}"/>
            </a:ext>
          </a:extLst>
        </xdr:cNvPr>
        <xdr:cNvSpPr/>
      </xdr:nvSpPr>
      <xdr:spPr>
        <a:xfrm>
          <a:off x="272835" y="655137"/>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36274" y="3507685"/>
        <xdr:ext cx="2124075" cy="492401"/>
        <xdr:sp macro="" textlink="">
          <xdr:nvSpPr>
            <xdr:cNvPr id="14337" name="Drop Down 1" hidden="1">
              <a:extLst>
                <a:ext uri="{63B3BB69-23CF-44E3-9099-C40C66FF867C}">
                  <a14:compatExt spid="_x0000_s14337"/>
                </a:ext>
                <a:ext uri="{FF2B5EF4-FFF2-40B4-BE49-F238E27FC236}">
                  <a16:creationId xmlns:a16="http://schemas.microsoft.com/office/drawing/2014/main" id="{076B603B-4FF7-43A9-A54E-C13F1DFDCF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4338" name="Object 2" hidden="1">
              <a:extLst>
                <a:ext uri="{63B3BB69-23CF-44E3-9099-C40C66FF867C}">
                  <a14:compatExt spid="_x0000_s14338"/>
                </a:ext>
                <a:ext uri="{FF2B5EF4-FFF2-40B4-BE49-F238E27FC236}">
                  <a16:creationId xmlns:a16="http://schemas.microsoft.com/office/drawing/2014/main" id="{F5A6209E-081C-43E3-A7A6-7004F9C9D5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19050</xdr:rowOff>
        </xdr:from>
        <xdr:to>
          <xdr:col>1</xdr:col>
          <xdr:colOff>2152650</xdr:colOff>
          <xdr:row>38</xdr:row>
          <xdr:rowOff>142875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3.bin"/><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5.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4.bin"/><Relationship Id="rId5" Type="http://schemas.openxmlformats.org/officeDocument/2006/relationships/vmlDrawing" Target="../drawings/vmlDrawing3.vml"/><Relationship Id="rId10" Type="http://schemas.openxmlformats.org/officeDocument/2006/relationships/ctrlProp" Target="../ctrlProps/ctrlProp5.xml"/><Relationship Id="rId4" Type="http://schemas.openxmlformats.org/officeDocument/2006/relationships/drawing" Target="../drawings/drawing3.xml"/><Relationship Id="rId9"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4.bin"/><Relationship Id="rId6" Type="http://schemas.openxmlformats.org/officeDocument/2006/relationships/oleObject" Target="../embeddings/oleObject6.bin"/><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9.bin"/><Relationship Id="rId3" Type="http://schemas.openxmlformats.org/officeDocument/2006/relationships/printerSettings" Target="../printerSettings/printerSettings7.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8.bin"/><Relationship Id="rId5" Type="http://schemas.openxmlformats.org/officeDocument/2006/relationships/vmlDrawing" Target="../drawings/vmlDrawing6.vml"/><Relationship Id="rId10" Type="http://schemas.openxmlformats.org/officeDocument/2006/relationships/ctrlProp" Target="../ctrlProps/ctrlProp9.xml"/><Relationship Id="rId4" Type="http://schemas.openxmlformats.org/officeDocument/2006/relationships/drawing" Target="../drawings/drawing6.xml"/><Relationship Id="rId9" Type="http://schemas.openxmlformats.org/officeDocument/2006/relationships/ctrlProp" Target="../ctrlProps/ctrlProp8.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10.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0.bin"/><Relationship Id="rId4"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7" Type="http://schemas.openxmlformats.org/officeDocument/2006/relationships/ctrlProp" Target="../ctrlProps/ctrlProp11.xml"/><Relationship Id="rId2" Type="http://schemas.openxmlformats.org/officeDocument/2006/relationships/printerSettings" Target="../printerSettings/printerSettings9.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1.bin"/><Relationship Id="rId4"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7F2AF-D566-487F-A7F1-508E60ABB501}">
  <dimension ref="A1:K51"/>
  <sheetViews>
    <sheetView topLeftCell="A39" zoomScale="115" zoomScaleNormal="115" workbookViewId="0">
      <selection activeCell="B16" sqref="B16:E16"/>
    </sheetView>
  </sheetViews>
  <sheetFormatPr defaultColWidth="9.140625" defaultRowHeight="15"/>
  <cols>
    <col min="1" max="1" width="4.42578125" customWidth="1"/>
    <col min="2" max="2" width="32.42578125" customWidth="1"/>
    <col min="3" max="3" width="46.7109375" customWidth="1"/>
    <col min="4" max="4" width="8.140625" customWidth="1"/>
    <col min="5" max="5" width="27.855468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235</v>
      </c>
      <c r="B1" s="89"/>
      <c r="C1" s="89"/>
      <c r="D1" s="89"/>
      <c r="E1" s="90"/>
      <c r="H1" s="109" t="s">
        <v>234</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226</v>
      </c>
      <c r="H7" s="1" t="s">
        <v>225</v>
      </c>
      <c r="I7" s="1" t="s">
        <v>224</v>
      </c>
      <c r="J7" s="1" t="s">
        <v>223</v>
      </c>
    </row>
    <row r="8" spans="1:10" ht="30" customHeight="1">
      <c r="A8" s="97">
        <v>1</v>
      </c>
      <c r="B8" s="100" t="s">
        <v>219</v>
      </c>
      <c r="C8" s="101"/>
      <c r="D8" s="101"/>
      <c r="E8" s="102"/>
      <c r="G8" s="1" t="s">
        <v>222</v>
      </c>
      <c r="H8" s="12">
        <v>10.9</v>
      </c>
      <c r="I8" s="12">
        <f>B10*C10/1000000*H8+E10/1000</f>
        <v>3.27</v>
      </c>
      <c r="J8" s="13" t="s">
        <v>233</v>
      </c>
    </row>
    <row r="9" spans="1:10" ht="21" customHeight="1">
      <c r="A9" s="98"/>
      <c r="B9" s="23" t="s">
        <v>217</v>
      </c>
      <c r="C9" s="24" t="s">
        <v>216</v>
      </c>
      <c r="D9" s="110" t="s">
        <v>0</v>
      </c>
      <c r="E9" s="20" t="s">
        <v>232</v>
      </c>
      <c r="F9" s="37"/>
      <c r="G9" s="1" t="s">
        <v>221</v>
      </c>
      <c r="H9" s="12">
        <v>12.2</v>
      </c>
      <c r="I9" s="12">
        <f>B10*C10/1000000*H9+E10/1000</f>
        <v>3.6599999999999997</v>
      </c>
      <c r="J9" s="12">
        <f>IF(J1=2,I9,J10)</f>
        <v>3.5999999999999996</v>
      </c>
    </row>
    <row r="10" spans="1:10" ht="30" customHeight="1" thickBot="1">
      <c r="A10" s="99"/>
      <c r="B10" s="9">
        <v>600</v>
      </c>
      <c r="C10" s="10">
        <v>500</v>
      </c>
      <c r="D10" s="111"/>
      <c r="E10" s="11">
        <v>0</v>
      </c>
      <c r="F10" s="38"/>
      <c r="G10" s="1" t="s">
        <v>220</v>
      </c>
      <c r="H10" s="12">
        <v>12.1</v>
      </c>
      <c r="I10" s="12">
        <f>B10*C10/1000000*H10+E10/1000</f>
        <v>3.63</v>
      </c>
      <c r="J10" s="12">
        <f>IF(J1=3,I10,J11)</f>
        <v>3.5999999999999996</v>
      </c>
    </row>
    <row r="11" spans="1:10" ht="30" customHeight="1">
      <c r="A11" s="97">
        <v>2</v>
      </c>
      <c r="B11" s="100" t="s">
        <v>212</v>
      </c>
      <c r="C11" s="101"/>
      <c r="D11" s="101"/>
      <c r="E11" s="102"/>
      <c r="F11" s="38"/>
      <c r="G11" s="1" t="s">
        <v>218</v>
      </c>
      <c r="H11" s="12">
        <v>14.5</v>
      </c>
      <c r="I11" s="12">
        <f>B10*C10/1000000*H11+E10/1000</f>
        <v>4.3499999999999996</v>
      </c>
      <c r="J11" s="12">
        <f>IF(J1=4,I11,J12)</f>
        <v>3.5999999999999996</v>
      </c>
    </row>
    <row r="12" spans="1:10" ht="21" customHeight="1">
      <c r="A12" s="98"/>
      <c r="B12" s="103"/>
      <c r="C12" s="25" t="s">
        <v>210</v>
      </c>
      <c r="D12" s="105" t="s">
        <v>231</v>
      </c>
      <c r="E12" s="106"/>
      <c r="F12" s="39"/>
      <c r="G12" s="1" t="s">
        <v>214</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213</v>
      </c>
      <c r="H13" s="12">
        <v>11</v>
      </c>
      <c r="I13" s="12">
        <f>B10*C10/1000000*H13+E10/1000</f>
        <v>3.3</v>
      </c>
      <c r="J13" s="12">
        <f>IF(J1=6,I13,J14)</f>
        <v>3.5999999999999996</v>
      </c>
    </row>
    <row r="14" spans="1:10" ht="22.9" customHeight="1">
      <c r="A14" s="77">
        <v>3</v>
      </c>
      <c r="B14" s="33" t="s">
        <v>206</v>
      </c>
      <c r="C14" s="41" t="s">
        <v>205</v>
      </c>
      <c r="D14" s="73" t="s">
        <v>230</v>
      </c>
      <c r="E14" s="74"/>
      <c r="F14" s="39"/>
      <c r="G14" s="1" t="s">
        <v>211</v>
      </c>
      <c r="H14" s="12">
        <v>12</v>
      </c>
      <c r="I14" s="12">
        <f>B10*C10/1000000*H14+E10/1000</f>
        <v>3.5999999999999996</v>
      </c>
      <c r="J14" s="12">
        <f>IF(J1=7,I14,J15)</f>
        <v>3.5999999999999996</v>
      </c>
    </row>
    <row r="15" spans="1:10" ht="33.6" customHeight="1">
      <c r="A15" s="78"/>
      <c r="B15" s="31" t="s">
        <v>203</v>
      </c>
      <c r="C15" s="42" t="str">
        <f>G17</f>
        <v>SQ02BH03A</v>
      </c>
      <c r="D15" s="75" t="str">
        <f>H17</f>
        <v>SQ02BH03B</v>
      </c>
      <c r="E15" s="76"/>
      <c r="G15" s="1" t="s">
        <v>208</v>
      </c>
      <c r="H15" s="12">
        <v>15</v>
      </c>
      <c r="I15" s="12">
        <f>B10*C10/1000000*H15+E10/1000</f>
        <v>4.5</v>
      </c>
      <c r="J15" s="12" t="e">
        <f>IF(J1=8,I15,J16)</f>
        <v>#REF!</v>
      </c>
    </row>
    <row r="16" spans="1:10" ht="70.5" customHeight="1" thickBot="1">
      <c r="A16" s="79"/>
      <c r="B16" s="34" t="s">
        <v>229</v>
      </c>
      <c r="C16" s="43" t="str">
        <f>G18</f>
        <v/>
      </c>
      <c r="D16" s="71" t="str">
        <f>H18</f>
        <v/>
      </c>
      <c r="E16" s="72"/>
      <c r="G16" s="1" t="s">
        <v>207</v>
      </c>
      <c r="H16" s="12">
        <v>11.2</v>
      </c>
      <c r="I16" s="12">
        <f>B10*C10/1000000*H16+E10/1000</f>
        <v>3.36</v>
      </c>
      <c r="J16" s="12" t="e">
        <f>IF(J1=9,I16,#REF!)</f>
        <v>#REF!</v>
      </c>
    </row>
    <row r="17" spans="1:10" ht="91.5" customHeight="1">
      <c r="A17" s="98">
        <v>4</v>
      </c>
      <c r="B17" s="115" t="s">
        <v>228</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200</v>
      </c>
      <c r="C18" s="28" t="s">
        <v>199</v>
      </c>
      <c r="D18" s="118" t="s">
        <v>198</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196</v>
      </c>
      <c r="B23" s="81"/>
      <c r="C23" s="81"/>
      <c r="D23" s="81"/>
      <c r="E23" s="82"/>
    </row>
    <row r="24" spans="1:10" ht="15.75" thickBot="1">
      <c r="A24" s="83"/>
      <c r="B24" s="84"/>
      <c r="C24" s="84"/>
      <c r="D24" s="84"/>
      <c r="E24" s="85"/>
      <c r="H24" s="109" t="s">
        <v>128</v>
      </c>
      <c r="I24" s="109"/>
      <c r="J24" s="13">
        <v>1</v>
      </c>
    </row>
    <row r="25" spans="1:10" ht="30" customHeight="1"/>
    <row r="26" spans="1:10" ht="30" customHeight="1" thickBot="1"/>
    <row r="27" spans="1:10" ht="30" customHeight="1">
      <c r="A27" s="88" t="s">
        <v>227</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226</v>
      </c>
      <c r="H30" s="1" t="s">
        <v>225</v>
      </c>
      <c r="I30" s="1" t="s">
        <v>224</v>
      </c>
      <c r="J30" s="1" t="s">
        <v>223</v>
      </c>
    </row>
    <row r="31" spans="1:10" ht="15" customHeight="1">
      <c r="A31" s="91"/>
      <c r="B31" s="92"/>
      <c r="C31" s="92"/>
      <c r="D31" s="92"/>
      <c r="E31" s="93"/>
      <c r="G31" s="1" t="s">
        <v>222</v>
      </c>
      <c r="H31" s="12">
        <v>10.9</v>
      </c>
      <c r="I31" s="12">
        <f>B36*C36/1000000*H31+E36/1000</f>
        <v>3.27</v>
      </c>
      <c r="J31" s="13" t="s">
        <v>4</v>
      </c>
    </row>
    <row r="32" spans="1:10" ht="30" customHeight="1">
      <c r="A32" s="91"/>
      <c r="B32" s="92"/>
      <c r="C32" s="92"/>
      <c r="D32" s="92"/>
      <c r="E32" s="93"/>
      <c r="G32" s="1" t="s">
        <v>221</v>
      </c>
      <c r="H32" s="12">
        <v>12.2</v>
      </c>
      <c r="I32" s="12">
        <f>B36*C36/1000000*H32+E36/1000</f>
        <v>3.6599999999999997</v>
      </c>
      <c r="J32" s="12">
        <f>IF(J24=2,I32,J33)</f>
        <v>0</v>
      </c>
    </row>
    <row r="33" spans="1:11" ht="30" customHeight="1" thickBot="1">
      <c r="A33" s="94"/>
      <c r="B33" s="95"/>
      <c r="C33" s="95"/>
      <c r="D33" s="95"/>
      <c r="E33" s="96"/>
      <c r="G33" s="1" t="s">
        <v>220</v>
      </c>
      <c r="H33" s="12">
        <v>12.1</v>
      </c>
      <c r="I33" s="12">
        <f>B36*C36/1000000*H33+E36/1000</f>
        <v>3.63</v>
      </c>
      <c r="J33" s="12">
        <f>IF(J24=3,I33,J34)</f>
        <v>0</v>
      </c>
    </row>
    <row r="34" spans="1:11" ht="30" customHeight="1">
      <c r="A34" s="98">
        <v>1</v>
      </c>
      <c r="B34" s="112" t="s">
        <v>219</v>
      </c>
      <c r="C34" s="113"/>
      <c r="D34" s="113"/>
      <c r="E34" s="114"/>
      <c r="F34" s="22"/>
      <c r="G34" s="1" t="s">
        <v>218</v>
      </c>
      <c r="H34" s="12">
        <v>14.5</v>
      </c>
      <c r="I34" s="12">
        <f>B36*C36/1000000*H34+E36/1000</f>
        <v>4.3499999999999996</v>
      </c>
      <c r="J34" s="12">
        <f>IF(J24=4,I34,J35)</f>
        <v>0</v>
      </c>
      <c r="K34" s="29"/>
    </row>
    <row r="35" spans="1:11" ht="30" customHeight="1">
      <c r="A35" s="98"/>
      <c r="B35" s="23" t="s">
        <v>217</v>
      </c>
      <c r="C35" s="24" t="s">
        <v>216</v>
      </c>
      <c r="D35" s="110" t="s">
        <v>0</v>
      </c>
      <c r="E35" s="20" t="s">
        <v>215</v>
      </c>
      <c r="F35" s="22"/>
      <c r="G35" s="1" t="s">
        <v>214</v>
      </c>
      <c r="H35" s="12">
        <v>16.5</v>
      </c>
      <c r="I35" s="12">
        <f>B36*C36/1000000*H35+E36/1000</f>
        <v>4.95</v>
      </c>
      <c r="J35" s="12">
        <f>IF(J24=5,I35,J36)</f>
        <v>0</v>
      </c>
      <c r="K35" s="29"/>
    </row>
    <row r="36" spans="1:11" ht="36.75" customHeight="1" thickBot="1">
      <c r="A36" s="99"/>
      <c r="B36" s="9">
        <v>600</v>
      </c>
      <c r="C36" s="10">
        <v>500</v>
      </c>
      <c r="D36" s="111"/>
      <c r="E36" s="11">
        <v>0</v>
      </c>
      <c r="G36" s="1" t="s">
        <v>213</v>
      </c>
      <c r="H36" s="12">
        <v>11</v>
      </c>
      <c r="I36" s="12">
        <f>B36*C36/1000000*H36+E36/1000</f>
        <v>3.3</v>
      </c>
      <c r="J36" s="12">
        <f>IF(J24=6,I36,J37)</f>
        <v>0</v>
      </c>
    </row>
    <row r="37" spans="1:11" ht="30" customHeight="1">
      <c r="A37" s="97">
        <v>2</v>
      </c>
      <c r="B37" s="100" t="s">
        <v>212</v>
      </c>
      <c r="C37" s="101"/>
      <c r="D37" s="101"/>
      <c r="E37" s="102"/>
      <c r="G37" s="1" t="s">
        <v>211</v>
      </c>
      <c r="H37" s="12">
        <v>12</v>
      </c>
      <c r="I37" s="12">
        <f>B36*C36/1000000*H37+E36/1000</f>
        <v>3.5999999999999996</v>
      </c>
      <c r="J37" s="12">
        <f>IF(J24=7,I37,J38)</f>
        <v>0</v>
      </c>
    </row>
    <row r="38" spans="1:11" ht="29.45" customHeight="1">
      <c r="A38" s="98"/>
      <c r="B38" s="103"/>
      <c r="C38" s="26" t="s">
        <v>210</v>
      </c>
      <c r="D38" s="105" t="s">
        <v>209</v>
      </c>
      <c r="E38" s="106"/>
      <c r="G38" s="1" t="s">
        <v>208</v>
      </c>
      <c r="H38" s="12">
        <v>15</v>
      </c>
      <c r="I38" s="12">
        <f>B36*C36/1000000*H38+E36/1000</f>
        <v>4.5</v>
      </c>
      <c r="J38" s="12">
        <f>IF(J24=8,I38,J39)</f>
        <v>0</v>
      </c>
    </row>
    <row r="39" spans="1:11" ht="25.15" customHeight="1" thickBot="1">
      <c r="A39" s="99"/>
      <c r="B39" s="104"/>
      <c r="C39" s="15">
        <f>IF(J24=1,I31,J32)</f>
        <v>3.27</v>
      </c>
      <c r="D39" s="107">
        <f>C39*B36</f>
        <v>1962</v>
      </c>
      <c r="E39" s="108"/>
      <c r="G39" s="1" t="s">
        <v>207</v>
      </c>
      <c r="H39" s="12">
        <v>11.2</v>
      </c>
      <c r="I39" s="12">
        <f>B36*C36/1000000*H39+E36/1000</f>
        <v>3.36</v>
      </c>
      <c r="J39" s="12">
        <f>IF(J24=9,I39,J40)</f>
        <v>0</v>
      </c>
    </row>
    <row r="40" spans="1:11" ht="25.9" customHeight="1">
      <c r="A40" s="77">
        <v>3</v>
      </c>
      <c r="B40" s="33" t="s">
        <v>206</v>
      </c>
      <c r="C40" s="41" t="s">
        <v>205</v>
      </c>
      <c r="D40" s="73" t="s">
        <v>204</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203</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108" customHeight="1" thickBot="1">
      <c r="A42" s="79"/>
      <c r="B42" s="34" t="s">
        <v>202</v>
      </c>
      <c r="C42" s="43" t="str">
        <f>G41</f>
        <v/>
      </c>
      <c r="D42" s="71" t="str">
        <f>H41</f>
        <v/>
      </c>
      <c r="E42" s="72"/>
    </row>
    <row r="43" spans="1:11" ht="78" customHeight="1">
      <c r="A43" s="97">
        <v>4</v>
      </c>
      <c r="B43" s="122" t="s">
        <v>201</v>
      </c>
      <c r="C43" s="123"/>
      <c r="D43" s="123"/>
      <c r="E43" s="124"/>
    </row>
    <row r="44" spans="1:11">
      <c r="A44" s="98"/>
      <c r="B44" s="27" t="s">
        <v>200</v>
      </c>
      <c r="C44" s="28" t="s">
        <v>199</v>
      </c>
      <c r="D44" s="118" t="s">
        <v>198</v>
      </c>
      <c r="E44" s="119"/>
    </row>
    <row r="45" spans="1:11">
      <c r="A45" s="98"/>
      <c r="B45" s="16" t="s">
        <v>82</v>
      </c>
      <c r="C45" s="5" t="s">
        <v>197</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196</v>
      </c>
      <c r="B49" s="81"/>
      <c r="C49" s="81"/>
      <c r="D49" s="81"/>
      <c r="E49" s="82"/>
    </row>
    <row r="50" spans="1:5" ht="15.75" thickBot="1">
      <c r="A50" s="83"/>
      <c r="B50" s="84"/>
      <c r="C50" s="84"/>
      <c r="D50" s="84"/>
      <c r="E50" s="85"/>
    </row>
    <row r="51" spans="1:5" ht="28.5" customHeight="1">
      <c r="B51" s="70" t="s">
        <v>195</v>
      </c>
      <c r="C51" s="70"/>
      <c r="D51" s="70"/>
      <c r="E51" s="70"/>
    </row>
  </sheetData>
  <mergeCells count="45">
    <mergeCell ref="B38:B39"/>
    <mergeCell ref="D38:E38"/>
    <mergeCell ref="D39:E39"/>
    <mergeCell ref="A43:A48"/>
    <mergeCell ref="B43:E43"/>
    <mergeCell ref="D44:E44"/>
    <mergeCell ref="B51:E51"/>
    <mergeCell ref="D42:E42"/>
    <mergeCell ref="D14:E14"/>
    <mergeCell ref="D15:E15"/>
    <mergeCell ref="D16:E16"/>
    <mergeCell ref="D47:E47"/>
    <mergeCell ref="D48:E48"/>
    <mergeCell ref="A49:E50"/>
    <mergeCell ref="A37:A39"/>
    <mergeCell ref="B37:E37"/>
    <mergeCell ref="A27:E33"/>
    <mergeCell ref="A11:A13"/>
    <mergeCell ref="B11:E11"/>
    <mergeCell ref="B12:B13"/>
    <mergeCell ref="D12:E12"/>
    <mergeCell ref="D13:E13"/>
    <mergeCell ref="A1:E7"/>
    <mergeCell ref="H1:I1"/>
    <mergeCell ref="A8:A10"/>
    <mergeCell ref="B8:E8"/>
    <mergeCell ref="D9:D10"/>
    <mergeCell ref="A14:A16"/>
    <mergeCell ref="A17:A22"/>
    <mergeCell ref="B17:E17"/>
    <mergeCell ref="D18:E18"/>
    <mergeCell ref="D19:E19"/>
    <mergeCell ref="D20:E20"/>
    <mergeCell ref="D22:E22"/>
    <mergeCell ref="D21:E21"/>
    <mergeCell ref="D45:E45"/>
    <mergeCell ref="D46:E46"/>
    <mergeCell ref="A40:A42"/>
    <mergeCell ref="D40:E40"/>
    <mergeCell ref="D41:E41"/>
    <mergeCell ref="H24:I24"/>
    <mergeCell ref="A34:A36"/>
    <mergeCell ref="B34:E34"/>
    <mergeCell ref="D35:D36"/>
    <mergeCell ref="A23:E24"/>
  </mergeCells>
  <hyperlinks>
    <hyperlink ref="A23" r:id="rId1" xr:uid="{E0F057D4-FC7E-4860-9130-70AA1599B2B8}"/>
    <hyperlink ref="A49" r:id="rId2" xr:uid="{F64E9E59-3B78-40EC-A1B9-1289D2A0D44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3314"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6"/>
      </mc:Fallback>
    </mc:AlternateContent>
    <mc:AlternateContent xmlns:mc="http://schemas.openxmlformats.org/markup-compatibility/2006">
      <mc:Choice Requires="x14">
        <oleObject progId="CorelDraw.Graphic.18" shapeId="13315"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13315" r:id="rId8"/>
      </mc:Fallback>
    </mc:AlternateContent>
  </oleObjects>
  <mc:AlternateContent xmlns:mc="http://schemas.openxmlformats.org/markup-compatibility/2006">
    <mc:Choice Requires="x14">
      <controls>
        <mc:AlternateContent xmlns:mc="http://schemas.openxmlformats.org/markup-compatibility/2006">
          <mc:Choice Requires="x14">
            <control shapeId="13313"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13316" r:id="rId10" name="Drop Down 4">
              <controlPr defaultSize="0" autoLine="0" autoPict="0">
                <anchor>
                  <from>
                    <xdr:col>1</xdr:col>
                    <xdr:colOff>95250</xdr:colOff>
                    <xdr:row>34</xdr:row>
                    <xdr:rowOff>323850</xdr:rowOff>
                  </from>
                  <to>
                    <xdr:col>1</xdr:col>
                    <xdr:colOff>2152650</xdr:colOff>
                    <xdr:row>35</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20788-0B6C-4462-B9D9-ECCE2E934119}">
  <dimension ref="A1:J24"/>
  <sheetViews>
    <sheetView topLeftCell="A15" zoomScale="115" zoomScaleNormal="115" workbookViewId="0">
      <selection activeCell="B16" sqref="B16:E1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234</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226</v>
      </c>
      <c r="H7" s="1" t="s">
        <v>225</v>
      </c>
      <c r="I7" s="1" t="s">
        <v>224</v>
      </c>
      <c r="J7" s="1" t="s">
        <v>223</v>
      </c>
    </row>
    <row r="8" spans="1:10" ht="30" customHeight="1">
      <c r="A8" s="98">
        <v>1</v>
      </c>
      <c r="B8" s="112" t="s">
        <v>219</v>
      </c>
      <c r="C8" s="113"/>
      <c r="D8" s="113"/>
      <c r="E8" s="114"/>
      <c r="G8" s="1" t="s">
        <v>222</v>
      </c>
      <c r="H8" s="12">
        <v>10.9</v>
      </c>
      <c r="I8" s="12">
        <f>B10*C10/1000000*H8+E10/1000</f>
        <v>3.27</v>
      </c>
      <c r="J8" s="13" t="s">
        <v>4</v>
      </c>
    </row>
    <row r="9" spans="1:10">
      <c r="A9" s="98"/>
      <c r="B9" s="23" t="s">
        <v>246</v>
      </c>
      <c r="C9" s="24" t="s">
        <v>216</v>
      </c>
      <c r="D9" s="110" t="s">
        <v>0</v>
      </c>
      <c r="E9" s="21" t="s">
        <v>232</v>
      </c>
      <c r="G9" s="1" t="s">
        <v>221</v>
      </c>
      <c r="H9" s="12">
        <v>12.2</v>
      </c>
      <c r="I9" s="12">
        <f>B10*C10/1000000*H9+E10/1000</f>
        <v>3.6599999999999997</v>
      </c>
      <c r="J9" s="12">
        <f>IF(J1=2,I9,J10)</f>
        <v>4.95</v>
      </c>
    </row>
    <row r="10" spans="1:10" ht="30" customHeight="1" thickBot="1">
      <c r="A10" s="99"/>
      <c r="B10" s="9">
        <v>600</v>
      </c>
      <c r="C10" s="10">
        <v>500</v>
      </c>
      <c r="D10" s="111"/>
      <c r="E10" s="11">
        <v>0</v>
      </c>
      <c r="G10" s="1" t="s">
        <v>220</v>
      </c>
      <c r="H10" s="12">
        <v>12.1</v>
      </c>
      <c r="I10" s="12">
        <f>B10*C10/1000000*H10+E10/1000</f>
        <v>3.63</v>
      </c>
      <c r="J10" s="12">
        <f>IF(J1=3,I10,J11)</f>
        <v>4.95</v>
      </c>
    </row>
    <row r="11" spans="1:10" ht="51.75" customHeight="1">
      <c r="A11" s="97">
        <v>2</v>
      </c>
      <c r="B11" s="122" t="s">
        <v>245</v>
      </c>
      <c r="C11" s="123"/>
      <c r="D11" s="123"/>
      <c r="E11" s="124"/>
      <c r="G11" s="1" t="s">
        <v>218</v>
      </c>
      <c r="H11" s="12">
        <v>14.5</v>
      </c>
      <c r="I11" s="12">
        <f>B10*C10/1000000*H11+E10/1000</f>
        <v>4.3499999999999996</v>
      </c>
      <c r="J11" s="12">
        <f>IF(J1=4,I11,J12)</f>
        <v>4.95</v>
      </c>
    </row>
    <row r="12" spans="1:10" ht="25.9" customHeight="1">
      <c r="A12" s="98"/>
      <c r="B12" s="103"/>
      <c r="C12" s="25" t="s">
        <v>244</v>
      </c>
      <c r="D12" s="105" t="s">
        <v>243</v>
      </c>
      <c r="E12" s="106"/>
      <c r="G12" s="1" t="s">
        <v>214</v>
      </c>
      <c r="H12" s="12">
        <v>16.5</v>
      </c>
      <c r="I12" s="12">
        <f>B10*C10/1000000*H12+E10/1000</f>
        <v>4.95</v>
      </c>
      <c r="J12" s="12">
        <f>IF(J1=5,I12,J13)</f>
        <v>4.95</v>
      </c>
    </row>
    <row r="13" spans="1:10" ht="30" customHeight="1" thickBot="1">
      <c r="A13" s="99"/>
      <c r="B13" s="104"/>
      <c r="C13" s="15">
        <f>IF(J1=1,I8,J9)</f>
        <v>4.95</v>
      </c>
      <c r="D13" s="107">
        <f>C13*B10</f>
        <v>2970</v>
      </c>
      <c r="E13" s="108"/>
      <c r="F13" s="29"/>
      <c r="G13" s="1" t="s">
        <v>213</v>
      </c>
      <c r="H13" s="12">
        <v>11</v>
      </c>
      <c r="I13" s="12">
        <f>B10*C10/1000000*H13+E10/1000</f>
        <v>3.3</v>
      </c>
      <c r="J13" s="12" t="e">
        <f>IF(J1=6,I13,J14)</f>
        <v>#REF!</v>
      </c>
    </row>
    <row r="14" spans="1:10" ht="29.45" customHeight="1">
      <c r="A14" s="77">
        <v>3</v>
      </c>
      <c r="B14" s="33" t="s">
        <v>206</v>
      </c>
      <c r="C14" s="41" t="s">
        <v>205</v>
      </c>
      <c r="D14" s="73" t="s">
        <v>242</v>
      </c>
      <c r="E14" s="74"/>
      <c r="F14" s="29"/>
      <c r="G14" s="1" t="s">
        <v>211</v>
      </c>
      <c r="H14" s="12">
        <v>12</v>
      </c>
      <c r="I14" s="12">
        <f>B10*C10/1000000*H14+E10/1000</f>
        <v>3.5999999999999996</v>
      </c>
      <c r="J14" s="12" t="e">
        <f>IF(J1=7,I14,J15)</f>
        <v>#REF!</v>
      </c>
    </row>
    <row r="15" spans="1:10" ht="34.15" customHeight="1">
      <c r="A15" s="78"/>
      <c r="B15" s="31" t="s">
        <v>241</v>
      </c>
      <c r="C15" s="42" t="str">
        <f>G17</f>
        <v>SQ00AH02A</v>
      </c>
      <c r="D15" s="75" t="str">
        <f>H17</f>
        <v>SQ00AH02B</v>
      </c>
      <c r="E15" s="76"/>
      <c r="G15" s="1" t="s">
        <v>208</v>
      </c>
      <c r="H15" s="12">
        <v>15</v>
      </c>
      <c r="I15" s="12">
        <f>B10*C10/1000000*H15+E10/1000</f>
        <v>4.5</v>
      </c>
      <c r="J15" s="12" t="e">
        <f>IF(J1=8,I15,J16)</f>
        <v>#REF!</v>
      </c>
    </row>
    <row r="16" spans="1:10" ht="34.15" customHeight="1" thickBot="1">
      <c r="A16" s="79"/>
      <c r="B16" s="34" t="s">
        <v>240</v>
      </c>
      <c r="C16" s="43" t="str">
        <f>G18</f>
        <v/>
      </c>
      <c r="D16" s="71" t="str">
        <f>H18</f>
        <v/>
      </c>
      <c r="E16" s="72"/>
      <c r="G16" s="1" t="s">
        <v>207</v>
      </c>
      <c r="H16" s="12">
        <v>11.2</v>
      </c>
      <c r="I16" s="12">
        <f>B10*C10/1000000*H16+E10/1000</f>
        <v>3.36</v>
      </c>
      <c r="J16" s="12" t="e">
        <f>IF(J1=9,I16,#REF!)</f>
        <v>#REF!</v>
      </c>
    </row>
    <row r="17" spans="1:8" ht="90" customHeight="1">
      <c r="A17" s="97">
        <v>4</v>
      </c>
      <c r="B17" s="122" t="s">
        <v>239</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238</v>
      </c>
      <c r="C18" s="28" t="s">
        <v>237</v>
      </c>
      <c r="D18" s="118" t="s">
        <v>198</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196</v>
      </c>
      <c r="B22" s="81"/>
      <c r="C22" s="81"/>
      <c r="D22" s="81"/>
      <c r="E22" s="82"/>
    </row>
    <row r="23" spans="1:8" ht="15.75" thickBot="1">
      <c r="A23" s="83"/>
      <c r="B23" s="84"/>
      <c r="C23" s="84"/>
      <c r="D23" s="84"/>
      <c r="E23" s="85"/>
    </row>
    <row r="24" spans="1:8" ht="44.25" customHeight="1">
      <c r="B24" s="183" t="s">
        <v>236</v>
      </c>
      <c r="C24" s="182"/>
      <c r="D24" s="182"/>
      <c r="E24" s="182"/>
    </row>
  </sheetData>
  <mergeCells count="22">
    <mergeCell ref="A1:E7"/>
    <mergeCell ref="A14:A16"/>
    <mergeCell ref="D14:E14"/>
    <mergeCell ref="D15:E15"/>
    <mergeCell ref="H1:I1"/>
    <mergeCell ref="D18:E18"/>
    <mergeCell ref="D19:E19"/>
    <mergeCell ref="D20:E20"/>
    <mergeCell ref="D21:E21"/>
    <mergeCell ref="D9:D10"/>
    <mergeCell ref="B8:E8"/>
    <mergeCell ref="B11:E11"/>
    <mergeCell ref="B12:B13"/>
    <mergeCell ref="D12:E12"/>
    <mergeCell ref="B24:E24"/>
    <mergeCell ref="A22:E23"/>
    <mergeCell ref="A8:A10"/>
    <mergeCell ref="A11:A13"/>
    <mergeCell ref="A17:A21"/>
    <mergeCell ref="D16:E16"/>
    <mergeCell ref="D13:E13"/>
    <mergeCell ref="B17:E17"/>
  </mergeCells>
  <hyperlinks>
    <hyperlink ref="A22" r:id="rId1" xr:uid="{4C40438F-BB5F-4E7E-814B-B1C8EF31175E}"/>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4338"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4338" r:id="rId5"/>
      </mc:Fallback>
    </mc:AlternateContent>
  </oleObjects>
  <mc:AlternateContent xmlns:mc="http://schemas.openxmlformats.org/markup-compatibility/2006">
    <mc:Choice Requires="x14">
      <controls>
        <mc:AlternateContent xmlns:mc="http://schemas.openxmlformats.org/markup-compatibility/2006">
          <mc:Choice Requires="x14">
            <control shapeId="14337" r:id="rId7" name="Drop Down 1">
              <controlPr defaultSize="0" autoLine="0" autoPict="0">
                <anchor>
                  <from>
                    <xdr:col>1</xdr:col>
                    <xdr:colOff>38100</xdr:colOff>
                    <xdr:row>10</xdr:row>
                    <xdr:rowOff>476250</xdr:rowOff>
                  </from>
                  <to>
                    <xdr:col>2</xdr:col>
                    <xdr:colOff>0</xdr:colOff>
                    <xdr:row>11</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zoomScale="115" zoomScaleNormal="115" workbookViewId="0">
      <selection activeCell="F51" sqref="F51"/>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89</v>
      </c>
      <c r="B1" s="89"/>
      <c r="C1" s="89"/>
      <c r="D1" s="89"/>
      <c r="E1" s="90"/>
      <c r="H1" s="109" t="s">
        <v>91</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7">
        <v>1</v>
      </c>
      <c r="B8" s="100" t="s">
        <v>143</v>
      </c>
      <c r="C8" s="101"/>
      <c r="D8" s="101"/>
      <c r="E8" s="102"/>
      <c r="G8" s="1" t="s">
        <v>96</v>
      </c>
      <c r="H8" s="12">
        <v>10.9</v>
      </c>
      <c r="I8" s="12">
        <f>B10*C10/1000000*H8+E10/1000</f>
        <v>3.27</v>
      </c>
      <c r="J8" s="13" t="s">
        <v>150</v>
      </c>
    </row>
    <row r="9" spans="1:10" ht="21" customHeight="1">
      <c r="A9" s="98"/>
      <c r="B9" s="23" t="s">
        <v>115</v>
      </c>
      <c r="C9" s="24" t="s">
        <v>116</v>
      </c>
      <c r="D9" s="110" t="s">
        <v>0</v>
      </c>
      <c r="E9" s="20" t="s">
        <v>117</v>
      </c>
      <c r="F9" s="37"/>
      <c r="G9" s="1" t="s">
        <v>97</v>
      </c>
      <c r="H9" s="12">
        <v>12.2</v>
      </c>
      <c r="I9" s="12">
        <f>B10*C10/1000000*H9+E10/1000</f>
        <v>3.6599999999999997</v>
      </c>
      <c r="J9" s="12">
        <f>IF(J1=2,I9,J10)</f>
        <v>3.5999999999999996</v>
      </c>
    </row>
    <row r="10" spans="1:10" ht="30" customHeight="1" thickBot="1">
      <c r="A10" s="99"/>
      <c r="B10" s="9">
        <v>600</v>
      </c>
      <c r="C10" s="10">
        <v>500</v>
      </c>
      <c r="D10" s="111"/>
      <c r="E10" s="11">
        <v>0</v>
      </c>
      <c r="F10" s="38"/>
      <c r="G10" s="1" t="s">
        <v>98</v>
      </c>
      <c r="H10" s="12">
        <v>12.1</v>
      </c>
      <c r="I10" s="12">
        <f>B10*C10/1000000*H10+E10/1000</f>
        <v>3.63</v>
      </c>
      <c r="J10" s="12">
        <f>IF(J1=3,I10,J11)</f>
        <v>3.5999999999999996</v>
      </c>
    </row>
    <row r="11" spans="1:10" ht="30" customHeight="1">
      <c r="A11" s="97">
        <v>2</v>
      </c>
      <c r="B11" s="100" t="s">
        <v>139</v>
      </c>
      <c r="C11" s="101"/>
      <c r="D11" s="101"/>
      <c r="E11" s="102"/>
      <c r="F11" s="38"/>
      <c r="G11" s="1" t="s">
        <v>99</v>
      </c>
      <c r="H11" s="12">
        <v>14.5</v>
      </c>
      <c r="I11" s="12">
        <f>B10*C10/1000000*H11+E10/1000</f>
        <v>4.3499999999999996</v>
      </c>
      <c r="J11" s="12">
        <f>IF(J1=4,I11,J12)</f>
        <v>3.5999999999999996</v>
      </c>
    </row>
    <row r="12" spans="1:10" ht="21" customHeight="1">
      <c r="A12" s="98"/>
      <c r="B12" s="103"/>
      <c r="C12" s="25" t="s">
        <v>103</v>
      </c>
      <c r="D12" s="105" t="s">
        <v>104</v>
      </c>
      <c r="E12" s="106"/>
      <c r="F12" s="39"/>
      <c r="G12" s="1" t="s">
        <v>126</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100</v>
      </c>
      <c r="H13" s="12">
        <v>11</v>
      </c>
      <c r="I13" s="12">
        <f>B10*C10/1000000*H13+E10/1000</f>
        <v>3.3</v>
      </c>
      <c r="J13" s="12">
        <f>IF(J1=6,I13,J14)</f>
        <v>3.5999999999999996</v>
      </c>
    </row>
    <row r="14" spans="1:10" ht="22.9" customHeight="1">
      <c r="A14" s="77">
        <v>3</v>
      </c>
      <c r="B14" s="33" t="s">
        <v>130</v>
      </c>
      <c r="C14" s="41" t="s">
        <v>131</v>
      </c>
      <c r="D14" s="73" t="s">
        <v>132</v>
      </c>
      <c r="E14" s="74"/>
      <c r="F14" s="39"/>
      <c r="G14" s="1" t="s">
        <v>101</v>
      </c>
      <c r="H14" s="12">
        <v>12</v>
      </c>
      <c r="I14" s="12">
        <f>B10*C10/1000000*H14+E10/1000</f>
        <v>3.5999999999999996</v>
      </c>
      <c r="J14" s="12">
        <f>IF(J1=7,I14,J15)</f>
        <v>3.5999999999999996</v>
      </c>
    </row>
    <row r="15" spans="1:10" ht="33.6" customHeight="1">
      <c r="A15" s="78"/>
      <c r="B15" s="31" t="s">
        <v>133</v>
      </c>
      <c r="C15" s="42" t="str">
        <f>G17</f>
        <v>SQ02BH03A</v>
      </c>
      <c r="D15" s="75" t="str">
        <f>H17</f>
        <v>SQ02BH03B</v>
      </c>
      <c r="E15" s="76"/>
      <c r="G15" s="1" t="s">
        <v>127</v>
      </c>
      <c r="H15" s="12">
        <v>15</v>
      </c>
      <c r="I15" s="12">
        <f>B10*C10/1000000*H15+E10/1000</f>
        <v>4.5</v>
      </c>
      <c r="J15" s="12" t="e">
        <f>IF(J1=8,I15,J16)</f>
        <v>#REF!</v>
      </c>
    </row>
    <row r="16" spans="1:10" ht="33" customHeight="1" thickBot="1">
      <c r="A16" s="79"/>
      <c r="B16" s="34" t="s">
        <v>134</v>
      </c>
      <c r="C16" s="43" t="str">
        <f>G18</f>
        <v/>
      </c>
      <c r="D16" s="71" t="str">
        <f>H18</f>
        <v/>
      </c>
      <c r="E16" s="72"/>
      <c r="G16" s="1" t="s">
        <v>102</v>
      </c>
      <c r="H16" s="12">
        <v>11.2</v>
      </c>
      <c r="I16" s="12">
        <f>B10*C10/1000000*H16+E10/1000</f>
        <v>3.36</v>
      </c>
      <c r="J16" s="12" t="e">
        <f>IF(J1=9,I16,#REF!)</f>
        <v>#REF!</v>
      </c>
    </row>
    <row r="17" spans="1:10" ht="64.150000000000006" customHeight="1">
      <c r="A17" s="98">
        <v>4</v>
      </c>
      <c r="B17" s="115" t="s">
        <v>145</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105</v>
      </c>
      <c r="C18" s="28" t="s">
        <v>119</v>
      </c>
      <c r="D18" s="118" t="s">
        <v>121</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106</v>
      </c>
      <c r="B23" s="81"/>
      <c r="C23" s="81"/>
      <c r="D23" s="81"/>
      <c r="E23" s="82"/>
    </row>
    <row r="24" spans="1:10" ht="15.75" thickBot="1">
      <c r="A24" s="83"/>
      <c r="B24" s="84"/>
      <c r="C24" s="84"/>
      <c r="D24" s="84"/>
      <c r="E24" s="85"/>
      <c r="H24" s="109" t="s">
        <v>128</v>
      </c>
      <c r="I24" s="109"/>
      <c r="J24" s="13">
        <v>7</v>
      </c>
    </row>
    <row r="25" spans="1:10" ht="36" customHeight="1">
      <c r="B25" s="70" t="s">
        <v>194</v>
      </c>
      <c r="C25" s="70"/>
      <c r="D25" s="70"/>
      <c r="E25" s="70"/>
    </row>
    <row r="26" spans="1:10" ht="30" customHeight="1" thickBot="1"/>
    <row r="27" spans="1:10" ht="30" customHeight="1">
      <c r="A27" s="88" t="s">
        <v>151</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95</v>
      </c>
      <c r="H30" s="1" t="s">
        <v>92</v>
      </c>
      <c r="I30" s="1" t="s">
        <v>93</v>
      </c>
      <c r="J30" s="1" t="s">
        <v>94</v>
      </c>
    </row>
    <row r="31" spans="1:10" ht="15" customHeight="1">
      <c r="A31" s="91"/>
      <c r="B31" s="92"/>
      <c r="C31" s="92"/>
      <c r="D31" s="92"/>
      <c r="E31" s="93"/>
      <c r="G31" s="1" t="s">
        <v>96</v>
      </c>
      <c r="H31" s="12">
        <v>10.9</v>
      </c>
      <c r="I31" s="12">
        <f>B36*C36/1000000*H31+E36/1000</f>
        <v>3.27</v>
      </c>
      <c r="J31" s="13" t="s">
        <v>4</v>
      </c>
    </row>
    <row r="32" spans="1:10" ht="30" customHeight="1">
      <c r="A32" s="91"/>
      <c r="B32" s="92"/>
      <c r="C32" s="92"/>
      <c r="D32" s="92"/>
      <c r="E32" s="93"/>
      <c r="G32" s="1" t="s">
        <v>97</v>
      </c>
      <c r="H32" s="12">
        <v>12.2</v>
      </c>
      <c r="I32" s="12">
        <f>B36*C36/1000000*H32+E36/1000</f>
        <v>3.6599999999999997</v>
      </c>
      <c r="J32" s="12">
        <f>IF(J24=2,I32,J33)</f>
        <v>3.5999999999999996</v>
      </c>
    </row>
    <row r="33" spans="1:11" ht="30" customHeight="1" thickBot="1">
      <c r="A33" s="94"/>
      <c r="B33" s="95"/>
      <c r="C33" s="95"/>
      <c r="D33" s="95"/>
      <c r="E33" s="96"/>
      <c r="G33" s="1" t="s">
        <v>98</v>
      </c>
      <c r="H33" s="12">
        <v>12.1</v>
      </c>
      <c r="I33" s="12">
        <f>B36*C36/1000000*H33+E36/1000</f>
        <v>3.63</v>
      </c>
      <c r="J33" s="12">
        <f>IF(J24=3,I33,J34)</f>
        <v>3.5999999999999996</v>
      </c>
    </row>
    <row r="34" spans="1:11" ht="30" customHeight="1">
      <c r="A34" s="98">
        <v>1</v>
      </c>
      <c r="B34" s="112" t="s">
        <v>143</v>
      </c>
      <c r="C34" s="113"/>
      <c r="D34" s="113"/>
      <c r="E34" s="114"/>
      <c r="F34" s="22"/>
      <c r="G34" s="1" t="s">
        <v>99</v>
      </c>
      <c r="H34" s="12">
        <v>14.5</v>
      </c>
      <c r="I34" s="12">
        <f>B36*C36/1000000*H34+E36/1000</f>
        <v>4.3499999999999996</v>
      </c>
      <c r="J34" s="12">
        <f>IF(J24=4,I34,J35)</f>
        <v>3.5999999999999996</v>
      </c>
      <c r="K34" s="29"/>
    </row>
    <row r="35" spans="1:11" ht="30" customHeight="1">
      <c r="A35" s="98"/>
      <c r="B35" s="23" t="s">
        <v>115</v>
      </c>
      <c r="C35" s="24" t="s">
        <v>116</v>
      </c>
      <c r="D35" s="110" t="s">
        <v>0</v>
      </c>
      <c r="E35" s="20" t="s">
        <v>117</v>
      </c>
      <c r="F35" s="22"/>
      <c r="G35" s="1" t="s">
        <v>126</v>
      </c>
      <c r="H35" s="12">
        <v>16.5</v>
      </c>
      <c r="I35" s="12">
        <f>B36*C36/1000000*H35+E36/1000</f>
        <v>4.95</v>
      </c>
      <c r="J35" s="12">
        <f>IF(J24=5,I35,J36)</f>
        <v>3.5999999999999996</v>
      </c>
      <c r="K35" s="29"/>
    </row>
    <row r="36" spans="1:11" ht="23.45" customHeight="1" thickBot="1">
      <c r="A36" s="99"/>
      <c r="B36" s="9">
        <v>600</v>
      </c>
      <c r="C36" s="10">
        <v>500</v>
      </c>
      <c r="D36" s="111"/>
      <c r="E36" s="11">
        <v>0</v>
      </c>
      <c r="G36" s="1" t="s">
        <v>100</v>
      </c>
      <c r="H36" s="12">
        <v>11</v>
      </c>
      <c r="I36" s="12">
        <f>B36*C36/1000000*H36+E36/1000</f>
        <v>3.3</v>
      </c>
      <c r="J36" s="12">
        <f>IF(J24=6,I36,J37)</f>
        <v>3.5999999999999996</v>
      </c>
    </row>
    <row r="37" spans="1:11" ht="30" customHeight="1">
      <c r="A37" s="97">
        <v>2</v>
      </c>
      <c r="B37" s="100" t="s">
        <v>139</v>
      </c>
      <c r="C37" s="101"/>
      <c r="D37" s="101"/>
      <c r="E37" s="102"/>
      <c r="G37" s="1" t="s">
        <v>101</v>
      </c>
      <c r="H37" s="12">
        <v>12</v>
      </c>
      <c r="I37" s="12">
        <f>B36*C36/1000000*H37+E36/1000</f>
        <v>3.5999999999999996</v>
      </c>
      <c r="J37" s="12">
        <f>IF(J24=7,I37,J38)</f>
        <v>3.5999999999999996</v>
      </c>
    </row>
    <row r="38" spans="1:11" ht="29.45" customHeight="1">
      <c r="A38" s="98"/>
      <c r="B38" s="103"/>
      <c r="C38" s="26" t="s">
        <v>103</v>
      </c>
      <c r="D38" s="105" t="s">
        <v>104</v>
      </c>
      <c r="E38" s="106"/>
      <c r="G38" s="1" t="s">
        <v>127</v>
      </c>
      <c r="H38" s="12">
        <v>15</v>
      </c>
      <c r="I38" s="12">
        <f>B36*C36/1000000*H38+E36/1000</f>
        <v>4.5</v>
      </c>
      <c r="J38" s="12">
        <f>IF(J24=8,I38,J39)</f>
        <v>0</v>
      </c>
    </row>
    <row r="39" spans="1:11" ht="25.15" customHeight="1" thickBot="1">
      <c r="A39" s="99"/>
      <c r="B39" s="104"/>
      <c r="C39" s="15">
        <f>IF(J24=1,I31,J32)</f>
        <v>3.5999999999999996</v>
      </c>
      <c r="D39" s="107">
        <f>C39*B36</f>
        <v>2160</v>
      </c>
      <c r="E39" s="108"/>
      <c r="G39" s="1" t="s">
        <v>102</v>
      </c>
      <c r="H39" s="12">
        <v>11.2</v>
      </c>
      <c r="I39" s="12">
        <f>B36*C36/1000000*H39+E36/1000</f>
        <v>3.36</v>
      </c>
      <c r="J39" s="12">
        <f>IF(J24=9,I39,J40)</f>
        <v>0</v>
      </c>
    </row>
    <row r="40" spans="1:11" ht="25.9" customHeight="1">
      <c r="A40" s="77">
        <v>3</v>
      </c>
      <c r="B40" s="33" t="s">
        <v>130</v>
      </c>
      <c r="C40" s="41" t="s">
        <v>131</v>
      </c>
      <c r="D40" s="73" t="s">
        <v>132</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133</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9"/>
      <c r="B42" s="34" t="s">
        <v>134</v>
      </c>
      <c r="C42" s="43" t="str">
        <f>G41</f>
        <v/>
      </c>
      <c r="D42" s="71" t="str">
        <f>H41</f>
        <v/>
      </c>
      <c r="E42" s="72"/>
    </row>
    <row r="43" spans="1:11" ht="61.15" customHeight="1">
      <c r="A43" s="97">
        <v>4</v>
      </c>
      <c r="B43" s="122" t="s">
        <v>145</v>
      </c>
      <c r="C43" s="123"/>
      <c r="D43" s="123"/>
      <c r="E43" s="124"/>
    </row>
    <row r="44" spans="1:11">
      <c r="A44" s="98"/>
      <c r="B44" s="27" t="s">
        <v>105</v>
      </c>
      <c r="C44" s="28" t="s">
        <v>119</v>
      </c>
      <c r="D44" s="118" t="s">
        <v>121</v>
      </c>
      <c r="E44" s="119"/>
    </row>
    <row r="45" spans="1:11">
      <c r="A45" s="98"/>
      <c r="B45" s="16" t="s">
        <v>82</v>
      </c>
      <c r="C45" s="5" t="s">
        <v>120</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106</v>
      </c>
      <c r="B49" s="81"/>
      <c r="C49" s="81"/>
      <c r="D49" s="81"/>
      <c r="E49" s="82"/>
    </row>
    <row r="50" spans="1:5" ht="15.75" thickBot="1">
      <c r="A50" s="83"/>
      <c r="B50" s="84"/>
      <c r="C50" s="84"/>
      <c r="D50" s="84"/>
      <c r="E50" s="85"/>
    </row>
    <row r="51" spans="1:5" ht="38.25" customHeight="1">
      <c r="B51" s="70" t="s">
        <v>194</v>
      </c>
      <c r="C51" s="70"/>
      <c r="D51" s="70"/>
      <c r="E51" s="70"/>
    </row>
  </sheetData>
  <mergeCells count="46">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A14:A16"/>
    <mergeCell ref="A23:E24"/>
    <mergeCell ref="D21:E21"/>
    <mergeCell ref="A27:E33"/>
    <mergeCell ref="B25:E25"/>
    <mergeCell ref="B51:E51"/>
    <mergeCell ref="D42:E42"/>
    <mergeCell ref="D14:E14"/>
    <mergeCell ref="D15:E15"/>
    <mergeCell ref="D16:E16"/>
    <mergeCell ref="D47:E47"/>
    <mergeCell ref="D48:E48"/>
    <mergeCell ref="A49:E50"/>
    <mergeCell ref="A37:A39"/>
    <mergeCell ref="B37:E37"/>
    <mergeCell ref="B38:B39"/>
    <mergeCell ref="D38:E38"/>
    <mergeCell ref="D39:E39"/>
    <mergeCell ref="A43:A48"/>
    <mergeCell ref="B43:E43"/>
    <mergeCell ref="D44:E44"/>
  </mergeCells>
  <phoneticPr fontId="15"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19050</xdr:rowOff>
                  </from>
                  <to>
                    <xdr:col>1</xdr:col>
                    <xdr:colOff>2152650</xdr:colOff>
                    <xdr:row>38</xdr:row>
                    <xdr:rowOff>142875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tabSelected="1" topLeftCell="A13" zoomScale="115" zoomScaleNormal="115" workbookViewId="0">
      <selection activeCell="K25" sqref="K25"/>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91</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143</v>
      </c>
      <c r="C8" s="113"/>
      <c r="D8" s="113"/>
      <c r="E8" s="114"/>
      <c r="G8" s="1" t="s">
        <v>96</v>
      </c>
      <c r="H8" s="12">
        <v>10.9</v>
      </c>
      <c r="I8" s="12">
        <f>B10*C10/1000000*H8+E10/1000</f>
        <v>3.27</v>
      </c>
      <c r="J8" s="13" t="s">
        <v>4</v>
      </c>
    </row>
    <row r="9" spans="1:10">
      <c r="A9" s="98"/>
      <c r="B9" s="23" t="s">
        <v>122</v>
      </c>
      <c r="C9" s="24" t="s">
        <v>116</v>
      </c>
      <c r="D9" s="110" t="s">
        <v>0</v>
      </c>
      <c r="E9" s="21" t="s">
        <v>117</v>
      </c>
      <c r="G9" s="1" t="s">
        <v>97</v>
      </c>
      <c r="H9" s="12">
        <v>12.2</v>
      </c>
      <c r="I9" s="12">
        <f>B10*C10/1000000*H9+E10/1000</f>
        <v>3.6599999999999997</v>
      </c>
      <c r="J9" s="12">
        <f>IF(J1=2,I9,J10)</f>
        <v>4.95</v>
      </c>
    </row>
    <row r="10" spans="1:10" ht="30" customHeight="1" thickBot="1">
      <c r="A10" s="99"/>
      <c r="B10" s="9">
        <v>600</v>
      </c>
      <c r="C10" s="10">
        <v>500</v>
      </c>
      <c r="D10" s="111"/>
      <c r="E10" s="11">
        <v>0</v>
      </c>
      <c r="G10" s="1" t="s">
        <v>98</v>
      </c>
      <c r="H10" s="12">
        <v>12.1</v>
      </c>
      <c r="I10" s="12">
        <f>B10*C10/1000000*H10+E10/1000</f>
        <v>3.63</v>
      </c>
      <c r="J10" s="12">
        <f>IF(J1=3,I10,J11)</f>
        <v>4.95</v>
      </c>
    </row>
    <row r="11" spans="1:10" ht="30" customHeight="1">
      <c r="A11" s="97">
        <v>2</v>
      </c>
      <c r="B11" s="100" t="s">
        <v>139</v>
      </c>
      <c r="C11" s="101"/>
      <c r="D11" s="101"/>
      <c r="E11" s="102"/>
      <c r="G11" s="1" t="s">
        <v>99</v>
      </c>
      <c r="H11" s="12">
        <v>14.5</v>
      </c>
      <c r="I11" s="12">
        <f>B10*C10/1000000*H11+E10/1000</f>
        <v>4.3499999999999996</v>
      </c>
      <c r="J11" s="12">
        <f>IF(J1=4,I11,J12)</f>
        <v>4.95</v>
      </c>
    </row>
    <row r="12" spans="1:10" ht="25.9" customHeight="1">
      <c r="A12" s="98"/>
      <c r="B12" s="103"/>
      <c r="C12" s="25" t="s">
        <v>103</v>
      </c>
      <c r="D12" s="105" t="s">
        <v>104</v>
      </c>
      <c r="E12" s="106"/>
      <c r="G12" s="1" t="s">
        <v>126</v>
      </c>
      <c r="H12" s="12">
        <v>16.5</v>
      </c>
      <c r="I12" s="12">
        <f>B10*C10/1000000*H12+E10/1000</f>
        <v>4.95</v>
      </c>
      <c r="J12" s="12">
        <f>IF(J1=5,I12,J13)</f>
        <v>4.95</v>
      </c>
    </row>
    <row r="13" spans="1:10" ht="30" customHeight="1" thickBot="1">
      <c r="A13" s="99"/>
      <c r="B13" s="104"/>
      <c r="C13" s="15">
        <f>IF(J1=1,I8,J9)</f>
        <v>4.95</v>
      </c>
      <c r="D13" s="107">
        <f>C13*B10</f>
        <v>2970</v>
      </c>
      <c r="E13" s="108"/>
      <c r="F13" s="29"/>
      <c r="G13" s="1" t="s">
        <v>100</v>
      </c>
      <c r="H13" s="12">
        <v>11</v>
      </c>
      <c r="I13" s="12">
        <f>B10*C10/1000000*H13+E10/1000</f>
        <v>3.3</v>
      </c>
      <c r="J13" s="12" t="e">
        <f>IF(J1=6,I13,J14)</f>
        <v>#REF!</v>
      </c>
    </row>
    <row r="14" spans="1:10" ht="29.45" customHeight="1">
      <c r="A14" s="77">
        <v>3</v>
      </c>
      <c r="B14" s="33" t="s">
        <v>130</v>
      </c>
      <c r="C14" s="41" t="s">
        <v>131</v>
      </c>
      <c r="D14" s="73" t="s">
        <v>132</v>
      </c>
      <c r="E14" s="74"/>
      <c r="F14" s="29"/>
      <c r="G14" s="1" t="s">
        <v>101</v>
      </c>
      <c r="H14" s="12">
        <v>12</v>
      </c>
      <c r="I14" s="12">
        <f>B10*C10/1000000*H14+E10/1000</f>
        <v>3.5999999999999996</v>
      </c>
      <c r="J14" s="12" t="e">
        <f>IF(J1=7,I14,J15)</f>
        <v>#REF!</v>
      </c>
    </row>
    <row r="15" spans="1:10" ht="34.15" customHeight="1">
      <c r="A15" s="78"/>
      <c r="B15" s="31" t="s">
        <v>133</v>
      </c>
      <c r="C15" s="42" t="str">
        <f>G17</f>
        <v>SQ00AH02A</v>
      </c>
      <c r="D15" s="75" t="str">
        <f>H17</f>
        <v>SQ00AH02B</v>
      </c>
      <c r="E15" s="76"/>
      <c r="G15" s="1" t="s">
        <v>127</v>
      </c>
      <c r="H15" s="12">
        <v>15</v>
      </c>
      <c r="I15" s="12">
        <f>B10*C10/1000000*H15+E10/1000</f>
        <v>4.5</v>
      </c>
      <c r="J15" s="12" t="e">
        <f>IF(J1=8,I15,J16)</f>
        <v>#REF!</v>
      </c>
    </row>
    <row r="16" spans="1:10" ht="34.15" customHeight="1" thickBot="1">
      <c r="A16" s="79"/>
      <c r="B16" s="34" t="s">
        <v>134</v>
      </c>
      <c r="C16" s="43" t="str">
        <f>G18</f>
        <v/>
      </c>
      <c r="D16" s="71" t="str">
        <f>H18</f>
        <v/>
      </c>
      <c r="E16" s="72"/>
      <c r="G16" s="1" t="s">
        <v>102</v>
      </c>
      <c r="H16" s="12">
        <v>11.2</v>
      </c>
      <c r="I16" s="12">
        <f>B10*C10/1000000*H16+E10/1000</f>
        <v>3.36</v>
      </c>
      <c r="J16" s="12" t="e">
        <f>IF(J1=9,I16,#REF!)</f>
        <v>#REF!</v>
      </c>
    </row>
    <row r="17" spans="1:8" ht="65.45" customHeight="1">
      <c r="A17" s="97">
        <v>4</v>
      </c>
      <c r="B17" s="122" t="s">
        <v>144</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105</v>
      </c>
      <c r="C18" s="28" t="s">
        <v>123</v>
      </c>
      <c r="D18" s="118" t="s">
        <v>121</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106</v>
      </c>
      <c r="B22" s="81"/>
      <c r="C22" s="81"/>
      <c r="D22" s="81"/>
      <c r="E22" s="82"/>
    </row>
    <row r="23" spans="1:8" ht="15.75" thickBot="1">
      <c r="A23" s="83"/>
      <c r="B23" s="84"/>
      <c r="C23" s="84"/>
      <c r="D23" s="84"/>
      <c r="E23" s="85"/>
    </row>
    <row r="24" spans="1:8" ht="36.75" customHeight="1">
      <c r="B24" s="126" t="s">
        <v>194</v>
      </c>
      <c r="C24" s="127"/>
      <c r="D24" s="127"/>
      <c r="E24" s="127"/>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2">
    <mergeCell ref="B24:E24"/>
    <mergeCell ref="A22:E23"/>
    <mergeCell ref="A8:A10"/>
    <mergeCell ref="A11:A13"/>
    <mergeCell ref="A17:A21"/>
    <mergeCell ref="D16:E16"/>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s>
  <phoneticPr fontId="15"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5" t="s">
        <v>80</v>
      </c>
      <c r="B1" s="89"/>
      <c r="C1" s="89"/>
      <c r="D1" s="89"/>
      <c r="E1" s="90"/>
      <c r="H1" s="109" t="s">
        <v>108</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143</v>
      </c>
      <c r="C8" s="113"/>
      <c r="D8" s="113"/>
      <c r="E8" s="114"/>
      <c r="G8" s="1" t="s">
        <v>96</v>
      </c>
      <c r="H8" s="12">
        <v>10.9</v>
      </c>
      <c r="I8" s="12">
        <f>B10*C10/1000000*H8+E10/1000</f>
        <v>3.2719999999999998</v>
      </c>
      <c r="J8" s="13" t="s">
        <v>4</v>
      </c>
    </row>
    <row r="9" spans="1:10">
      <c r="A9" s="98"/>
      <c r="B9" s="23" t="s">
        <v>124</v>
      </c>
      <c r="C9" s="24" t="s">
        <v>116</v>
      </c>
      <c r="D9" s="110" t="s">
        <v>0</v>
      </c>
      <c r="E9" s="21" t="s">
        <v>117</v>
      </c>
      <c r="G9" s="1" t="s">
        <v>97</v>
      </c>
      <c r="H9" s="12">
        <v>12.2</v>
      </c>
      <c r="I9" s="12">
        <f>B10*C10/1000000*H9+E10/1000</f>
        <v>3.6619999999999995</v>
      </c>
      <c r="J9" s="12">
        <f>IF(J1=2,I9,J10)</f>
        <v>3.6019999999999994</v>
      </c>
    </row>
    <row r="10" spans="1:10" ht="30" customHeight="1" thickBot="1">
      <c r="A10" s="99"/>
      <c r="B10" s="9">
        <v>600</v>
      </c>
      <c r="C10" s="10">
        <v>500</v>
      </c>
      <c r="D10" s="111"/>
      <c r="E10" s="11">
        <v>2</v>
      </c>
      <c r="G10" s="1" t="s">
        <v>98</v>
      </c>
      <c r="H10" s="12">
        <v>12.1</v>
      </c>
      <c r="I10" s="12">
        <f>B10*C10/1000000*H10+E10/1000</f>
        <v>3.6319999999999997</v>
      </c>
      <c r="J10" s="12">
        <f>IF(J1=3,I10,J11)</f>
        <v>3.6019999999999994</v>
      </c>
    </row>
    <row r="11" spans="1:10" ht="30" customHeight="1">
      <c r="A11" s="97">
        <v>2</v>
      </c>
      <c r="B11" s="100" t="s">
        <v>139</v>
      </c>
      <c r="C11" s="101"/>
      <c r="D11" s="101"/>
      <c r="E11" s="102"/>
      <c r="G11" s="1" t="s">
        <v>99</v>
      </c>
      <c r="H11" s="12">
        <v>14.5</v>
      </c>
      <c r="I11" s="12">
        <f>B10*C10/1000000*H11+E10/1000</f>
        <v>4.3519999999999994</v>
      </c>
      <c r="J11" s="12">
        <f>IF(J1=4,I11,J12)</f>
        <v>3.6019999999999994</v>
      </c>
    </row>
    <row r="12" spans="1:10" ht="20.45" customHeight="1">
      <c r="A12" s="98"/>
      <c r="B12" s="103"/>
      <c r="C12" s="25" t="s">
        <v>103</v>
      </c>
      <c r="D12" s="105" t="s">
        <v>104</v>
      </c>
      <c r="E12" s="106"/>
      <c r="G12" s="1" t="s">
        <v>126</v>
      </c>
      <c r="H12" s="12">
        <v>16.5</v>
      </c>
      <c r="I12" s="12">
        <f>B10*C10/1000000*H12+E10/1000</f>
        <v>4.952</v>
      </c>
      <c r="J12" s="12">
        <f>IF(J1=5,I12,J13)</f>
        <v>3.6019999999999994</v>
      </c>
    </row>
    <row r="13" spans="1:10" ht="30" customHeight="1" thickBot="1">
      <c r="A13" s="99"/>
      <c r="B13" s="104"/>
      <c r="C13" s="15">
        <f>IF(J1=1,I8,J9)</f>
        <v>3.6019999999999994</v>
      </c>
      <c r="D13" s="128">
        <f>C13*B10</f>
        <v>2161.1999999999998</v>
      </c>
      <c r="E13" s="129"/>
      <c r="F13" s="29"/>
      <c r="G13" s="1" t="s">
        <v>100</v>
      </c>
      <c r="H13" s="12">
        <v>11</v>
      </c>
      <c r="I13" s="12">
        <f>B10*C10/1000000*H13+E10/1000</f>
        <v>3.3019999999999996</v>
      </c>
      <c r="J13" s="12">
        <f>IF(J1=6,I13,J14)</f>
        <v>3.6019999999999994</v>
      </c>
    </row>
    <row r="14" spans="1:10" ht="25.9" customHeight="1">
      <c r="A14" s="77">
        <v>3</v>
      </c>
      <c r="B14" s="33" t="s">
        <v>130</v>
      </c>
      <c r="C14" s="41" t="s">
        <v>131</v>
      </c>
      <c r="D14" s="73" t="s">
        <v>132</v>
      </c>
      <c r="E14" s="74"/>
      <c r="F14" s="29"/>
      <c r="G14" s="1" t="s">
        <v>101</v>
      </c>
      <c r="H14" s="12">
        <v>12</v>
      </c>
      <c r="I14" s="12">
        <f>B10*C10/1000000*H14+E10/1000</f>
        <v>3.6019999999999994</v>
      </c>
      <c r="J14" s="12">
        <f>IF(J1=7,I14,J15)</f>
        <v>3.6019999999999994</v>
      </c>
    </row>
    <row r="15" spans="1:10" ht="37.9" customHeight="1">
      <c r="A15" s="78"/>
      <c r="B15" s="31" t="s">
        <v>133</v>
      </c>
      <c r="C15" s="42" t="str">
        <f>G17</f>
        <v>SF00AM02A</v>
      </c>
      <c r="D15" s="75" t="str">
        <f>H17</f>
        <v>SF00AM02B</v>
      </c>
      <c r="E15" s="76"/>
      <c r="G15" s="1" t="s">
        <v>127</v>
      </c>
      <c r="H15" s="12">
        <v>15</v>
      </c>
      <c r="I15" s="12">
        <f>B10*C10/1000000*H15+E10/1000</f>
        <v>4.5019999999999998</v>
      </c>
      <c r="J15" s="12">
        <f>IF(J1=8,I15,J16)</f>
        <v>0</v>
      </c>
    </row>
    <row r="16" spans="1:10" ht="37.9" customHeight="1" thickBot="1">
      <c r="A16" s="79"/>
      <c r="B16" s="34" t="s">
        <v>134</v>
      </c>
      <c r="C16" s="43" t="str">
        <f>G18</f>
        <v/>
      </c>
      <c r="D16" s="71" t="str">
        <f>H18</f>
        <v/>
      </c>
      <c r="E16" s="72"/>
      <c r="G16" s="1" t="s">
        <v>102</v>
      </c>
      <c r="H16" s="12">
        <v>11.2</v>
      </c>
      <c r="I16" s="12">
        <f>B10*C10/1000000*H16+E10/1000</f>
        <v>3.3619999999999997</v>
      </c>
      <c r="J16" s="12">
        <f>IF(J1=9,I16,J17)</f>
        <v>0</v>
      </c>
    </row>
    <row r="17" spans="1:8" ht="60" customHeight="1">
      <c r="A17" s="97">
        <v>4</v>
      </c>
      <c r="B17" s="122" t="s">
        <v>142</v>
      </c>
      <c r="C17" s="123"/>
      <c r="D17" s="123"/>
      <c r="E17" s="124"/>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8"/>
      <c r="B18" s="27" t="s">
        <v>105</v>
      </c>
      <c r="C18" s="28" t="s">
        <v>123</v>
      </c>
      <c r="D18" s="118" t="s">
        <v>121</v>
      </c>
      <c r="E18" s="119"/>
      <c r="G18" t="str">
        <f>IF(D13&gt;13500,"the door is too big, out of range",IF(D13&gt;9000,"3pcs of SF00AH02A",""))</f>
        <v/>
      </c>
      <c r="H18" t="str">
        <f>IF(D13&gt;13500,"the door is too big, out of range",IF(D13&gt;9000,"3pcs of SF00AH02B",""))</f>
        <v/>
      </c>
    </row>
    <row r="19" spans="1:8">
      <c r="A19" s="98"/>
      <c r="B19" s="4" t="s">
        <v>11</v>
      </c>
      <c r="C19" s="5" t="s">
        <v>12</v>
      </c>
      <c r="D19" s="86">
        <v>990</v>
      </c>
      <c r="E19" s="87"/>
    </row>
    <row r="20" spans="1:8">
      <c r="A20" s="98"/>
      <c r="B20" s="16" t="s">
        <v>8</v>
      </c>
      <c r="C20" s="5" t="s">
        <v>13</v>
      </c>
      <c r="D20" s="86">
        <v>1625</v>
      </c>
      <c r="E20" s="87"/>
    </row>
    <row r="21" spans="1:8">
      <c r="A21" s="98"/>
      <c r="B21" s="16" t="s">
        <v>9</v>
      </c>
      <c r="C21" s="5" t="s">
        <v>14</v>
      </c>
      <c r="D21" s="86">
        <v>3200</v>
      </c>
      <c r="E21" s="87"/>
    </row>
    <row r="22" spans="1:8" ht="15.75" thickBot="1">
      <c r="A22" s="99"/>
      <c r="B22" s="17" t="s">
        <v>10</v>
      </c>
      <c r="C22" s="6" t="s">
        <v>15</v>
      </c>
      <c r="D22" s="120">
        <v>6100</v>
      </c>
      <c r="E22" s="121"/>
    </row>
    <row r="23" spans="1:8">
      <c r="A23" s="80" t="s">
        <v>106</v>
      </c>
      <c r="B23" s="81"/>
      <c r="C23" s="81"/>
      <c r="D23" s="81"/>
      <c r="E23" s="82"/>
    </row>
    <row r="24" spans="1:8" ht="15.75" thickBot="1">
      <c r="A24" s="83"/>
      <c r="B24" s="84"/>
      <c r="C24" s="84"/>
      <c r="D24" s="84"/>
      <c r="E24" s="85"/>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5"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topLeftCell="A16"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5" t="s">
        <v>81</v>
      </c>
      <c r="B1" s="89"/>
      <c r="C1" s="89"/>
      <c r="D1" s="89"/>
      <c r="E1" s="90"/>
      <c r="H1" s="109" t="s">
        <v>109</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114</v>
      </c>
      <c r="C8" s="113"/>
      <c r="D8" s="113"/>
      <c r="E8" s="114"/>
      <c r="G8" s="1" t="s">
        <v>96</v>
      </c>
      <c r="H8" s="12">
        <v>10.9</v>
      </c>
      <c r="I8" s="12">
        <f>B10*C10/1000000*H8+E10/1000</f>
        <v>3.2919999999999998</v>
      </c>
      <c r="J8" s="13" t="s">
        <v>4</v>
      </c>
    </row>
    <row r="9" spans="1:10" ht="18" customHeight="1">
      <c r="A9" s="98"/>
      <c r="B9" s="23" t="s">
        <v>125</v>
      </c>
      <c r="C9" s="24" t="s">
        <v>116</v>
      </c>
      <c r="D9" s="110" t="s">
        <v>0</v>
      </c>
      <c r="E9" s="21" t="s">
        <v>117</v>
      </c>
      <c r="G9" s="1" t="s">
        <v>97</v>
      </c>
      <c r="H9" s="12">
        <v>12.2</v>
      </c>
      <c r="I9" s="12">
        <f>B10*C10/1000000*H9+E10/1000</f>
        <v>3.6819999999999995</v>
      </c>
      <c r="J9" s="12">
        <f>IF(J1=2,I9,J10)</f>
        <v>3.6219999999999994</v>
      </c>
    </row>
    <row r="10" spans="1:10" ht="27" customHeight="1" thickBot="1">
      <c r="A10" s="99"/>
      <c r="B10" s="9">
        <v>600</v>
      </c>
      <c r="C10" s="10">
        <v>500</v>
      </c>
      <c r="D10" s="111"/>
      <c r="E10" s="11">
        <v>22</v>
      </c>
      <c r="G10" s="1" t="s">
        <v>98</v>
      </c>
      <c r="H10" s="12">
        <v>12.1</v>
      </c>
      <c r="I10" s="12">
        <f>B10*C10/1000000*H10+E10/1000</f>
        <v>3.6519999999999997</v>
      </c>
      <c r="J10" s="12">
        <f>IF(J1=3,I10,J11)</f>
        <v>3.6219999999999994</v>
      </c>
    </row>
    <row r="11" spans="1:10" ht="30" customHeight="1">
      <c r="A11" s="97">
        <v>2</v>
      </c>
      <c r="B11" s="100" t="s">
        <v>118</v>
      </c>
      <c r="C11" s="101"/>
      <c r="D11" s="101"/>
      <c r="E11" s="102"/>
      <c r="G11" s="1" t="s">
        <v>99</v>
      </c>
      <c r="H11" s="12">
        <v>14.5</v>
      </c>
      <c r="I11" s="12">
        <f>B10*C10/1000000*H11+E10/1000</f>
        <v>4.3719999999999999</v>
      </c>
      <c r="J11" s="12">
        <f>IF(J1=4,I11,J12)</f>
        <v>3.6219999999999994</v>
      </c>
    </row>
    <row r="12" spans="1:10" ht="23.45" customHeight="1">
      <c r="A12" s="98"/>
      <c r="B12" s="103"/>
      <c r="C12" s="2" t="s">
        <v>103</v>
      </c>
      <c r="D12" s="137" t="s">
        <v>104</v>
      </c>
      <c r="E12" s="138"/>
      <c r="G12" s="1" t="s">
        <v>126</v>
      </c>
      <c r="H12" s="12">
        <v>16.5</v>
      </c>
      <c r="I12" s="12">
        <f>B10*C10/1000000*H12+E10/1000</f>
        <v>4.9720000000000004</v>
      </c>
      <c r="J12" s="12">
        <f>IF(J1=5,I12,J13)</f>
        <v>3.6219999999999994</v>
      </c>
    </row>
    <row r="13" spans="1:10" ht="37.9" customHeight="1" thickBot="1">
      <c r="A13" s="98"/>
      <c r="B13" s="136"/>
      <c r="C13" s="32">
        <f>IF(J1=1,I8,J9)</f>
        <v>3.6219999999999994</v>
      </c>
      <c r="D13" s="139">
        <f>C13*B10</f>
        <v>2173.1999999999998</v>
      </c>
      <c r="E13" s="140"/>
      <c r="F13" s="22"/>
      <c r="G13" s="1" t="s">
        <v>100</v>
      </c>
      <c r="H13" s="12">
        <v>11</v>
      </c>
      <c r="I13" s="12">
        <f>B10*C10/1000000*H13+E10/1000</f>
        <v>3.3219999999999996</v>
      </c>
      <c r="J13" s="12">
        <f>IF(J1=6,I13,J14)</f>
        <v>3.6219999999999994</v>
      </c>
    </row>
    <row r="14" spans="1:10" ht="25.15" customHeight="1">
      <c r="A14" s="77">
        <v>3</v>
      </c>
      <c r="B14" s="130" t="s">
        <v>130</v>
      </c>
      <c r="C14" s="41" t="s">
        <v>135</v>
      </c>
      <c r="D14" s="132" t="s">
        <v>136</v>
      </c>
      <c r="E14" s="133"/>
      <c r="F14" s="22"/>
      <c r="G14" s="1" t="s">
        <v>101</v>
      </c>
      <c r="H14" s="12">
        <v>12</v>
      </c>
      <c r="I14" s="12">
        <f>B10*C10/1000000*H14+E10/1000</f>
        <v>3.6219999999999994</v>
      </c>
      <c r="J14" s="12">
        <f>IF(J1=7,I14,J15)</f>
        <v>3.6219999999999994</v>
      </c>
    </row>
    <row r="15" spans="1:10" ht="35.450000000000003" customHeight="1" thickBot="1">
      <c r="A15" s="79"/>
      <c r="B15" s="131"/>
      <c r="C15" s="44" t="str">
        <f>G17</f>
        <v>SE00AH01</v>
      </c>
      <c r="D15" s="134" t="str">
        <f>G18</f>
        <v/>
      </c>
      <c r="E15" s="135"/>
      <c r="G15" s="1" t="s">
        <v>127</v>
      </c>
      <c r="H15" s="12">
        <v>15</v>
      </c>
      <c r="I15" s="12">
        <f>B10*C10/1000000*H15+E10/1000</f>
        <v>4.5220000000000002</v>
      </c>
      <c r="J15" s="12">
        <f>IF(J1=8,I15,J16)</f>
        <v>0</v>
      </c>
    </row>
    <row r="16" spans="1:10" ht="61.9" customHeight="1">
      <c r="A16" s="97">
        <v>4</v>
      </c>
      <c r="B16" s="122" t="s">
        <v>138</v>
      </c>
      <c r="C16" s="123"/>
      <c r="D16" s="123"/>
      <c r="E16" s="124"/>
      <c r="G16" s="1" t="s">
        <v>102</v>
      </c>
      <c r="H16" s="12">
        <v>11.2</v>
      </c>
      <c r="I16" s="12">
        <f>B10*C10/1000000*H16+E10/1000</f>
        <v>3.3819999999999997</v>
      </c>
      <c r="J16" s="12">
        <f>IF(J1=9,I16,J17)</f>
        <v>0</v>
      </c>
    </row>
    <row r="17" spans="1:10" ht="27" customHeight="1">
      <c r="A17" s="98"/>
      <c r="B17" s="27" t="s">
        <v>105</v>
      </c>
      <c r="C17" s="28" t="s">
        <v>123</v>
      </c>
      <c r="D17" s="118" t="s">
        <v>121</v>
      </c>
      <c r="E17" s="119"/>
      <c r="G17" s="29" t="str">
        <f>IF(D13&lt;200,"the door is too small",IF(D13&lt;500,"SE00AL01",IF(D13&lt;960,"SE00AM01",IF(D13&lt;=2350,"SE00AH01",""))))</f>
        <v>SE00AH01</v>
      </c>
    </row>
    <row r="18" spans="1:10" ht="15.6" customHeight="1">
      <c r="A18" s="98"/>
      <c r="B18" s="16" t="s">
        <v>16</v>
      </c>
      <c r="C18" s="5" t="s">
        <v>20</v>
      </c>
      <c r="D18" s="86">
        <v>600</v>
      </c>
      <c r="E18" s="87"/>
      <c r="G18" s="29" t="str">
        <f>IF(D13&gt;4700,"the door is too big, out of range",IF(D13&gt;2350,"2sets of SE00AH01",""))</f>
        <v/>
      </c>
    </row>
    <row r="19" spans="1:10" ht="15.6" customHeight="1">
      <c r="A19" s="98"/>
      <c r="B19" s="16" t="s">
        <v>17</v>
      </c>
      <c r="C19" s="5" t="s">
        <v>19</v>
      </c>
      <c r="D19" s="86">
        <v>1000</v>
      </c>
      <c r="E19" s="87"/>
    </row>
    <row r="20" spans="1:10" ht="15.6" customHeight="1" thickBot="1">
      <c r="A20" s="99"/>
      <c r="B20" s="17" t="s">
        <v>18</v>
      </c>
      <c r="C20" s="6" t="s">
        <v>21</v>
      </c>
      <c r="D20" s="120">
        <v>1655</v>
      </c>
      <c r="E20" s="121"/>
    </row>
    <row r="21" spans="1:10">
      <c r="A21" s="80" t="s">
        <v>106</v>
      </c>
      <c r="B21" s="81"/>
      <c r="C21" s="81"/>
      <c r="D21" s="81"/>
      <c r="E21" s="82"/>
    </row>
    <row r="22" spans="1:10" ht="15.75" thickBot="1">
      <c r="A22" s="83"/>
      <c r="B22" s="84"/>
      <c r="C22" s="84"/>
      <c r="D22" s="84"/>
      <c r="E22" s="85"/>
    </row>
    <row r="23" spans="1:10" ht="30" customHeight="1"/>
    <row r="24" spans="1:10" ht="30" customHeight="1"/>
    <row r="25" spans="1:10" ht="30" customHeight="1" thickBot="1"/>
    <row r="26" spans="1:10" ht="30" customHeight="1">
      <c r="A26" s="125" t="s">
        <v>110</v>
      </c>
      <c r="B26" s="89"/>
      <c r="C26" s="89"/>
      <c r="D26" s="89"/>
      <c r="E26" s="90"/>
      <c r="H26" s="109" t="s">
        <v>109</v>
      </c>
      <c r="I26" s="109"/>
      <c r="J26" s="13">
        <v>6</v>
      </c>
    </row>
    <row r="27" spans="1:10" ht="30" customHeight="1">
      <c r="A27" s="91"/>
      <c r="B27" s="92"/>
      <c r="C27" s="92"/>
      <c r="D27" s="92"/>
      <c r="E27" s="93"/>
    </row>
    <row r="28" spans="1:10" ht="14.65" customHeight="1">
      <c r="A28" s="91"/>
      <c r="B28" s="92"/>
      <c r="C28" s="92"/>
      <c r="D28" s="92"/>
      <c r="E28" s="93"/>
    </row>
    <row r="29" spans="1:10" ht="14.65" customHeight="1">
      <c r="A29" s="91"/>
      <c r="B29" s="92"/>
      <c r="C29" s="92"/>
      <c r="D29" s="92"/>
      <c r="E29" s="93"/>
    </row>
    <row r="30" spans="1:10" ht="15" customHeight="1">
      <c r="A30" s="91"/>
      <c r="B30" s="92"/>
      <c r="C30" s="92"/>
      <c r="D30" s="92"/>
      <c r="E30" s="93"/>
    </row>
    <row r="31" spans="1:10" ht="30" customHeight="1">
      <c r="A31" s="91"/>
      <c r="B31" s="92"/>
      <c r="C31" s="92"/>
      <c r="D31" s="92"/>
      <c r="E31" s="93"/>
    </row>
    <row r="32" spans="1:10" ht="15.75" thickBot="1">
      <c r="A32" s="94"/>
      <c r="B32" s="95"/>
      <c r="C32" s="95"/>
      <c r="D32" s="95"/>
      <c r="E32" s="96"/>
      <c r="G32" s="1" t="s">
        <v>95</v>
      </c>
      <c r="H32" s="1" t="s">
        <v>92</v>
      </c>
      <c r="I32" s="1" t="s">
        <v>93</v>
      </c>
      <c r="J32" s="1" t="s">
        <v>94</v>
      </c>
    </row>
    <row r="33" spans="1:11" ht="30" customHeight="1">
      <c r="A33" s="98">
        <v>1</v>
      </c>
      <c r="B33" s="112" t="s">
        <v>114</v>
      </c>
      <c r="C33" s="113"/>
      <c r="D33" s="113"/>
      <c r="E33" s="114"/>
      <c r="G33" s="1" t="s">
        <v>96</v>
      </c>
      <c r="H33" s="12">
        <v>10.9</v>
      </c>
      <c r="I33" s="12">
        <f>B35*C35/1000000*H33+E35/1000</f>
        <v>3.3029999999999999</v>
      </c>
      <c r="J33" s="13" t="s">
        <v>4</v>
      </c>
    </row>
    <row r="34" spans="1:11" ht="30" customHeight="1">
      <c r="A34" s="98"/>
      <c r="B34" s="23" t="s">
        <v>125</v>
      </c>
      <c r="C34" s="24" t="s">
        <v>116</v>
      </c>
      <c r="D34" s="110" t="s">
        <v>0</v>
      </c>
      <c r="E34" s="21" t="s">
        <v>117</v>
      </c>
      <c r="G34" s="1" t="s">
        <v>97</v>
      </c>
      <c r="H34" s="12">
        <v>12.2</v>
      </c>
      <c r="I34" s="12">
        <f>B35*C35/1000000*H34+E35/1000</f>
        <v>3.6929999999999996</v>
      </c>
      <c r="J34" s="12">
        <f>IF(J26=2,I34,J35)</f>
        <v>3.6329999999999996</v>
      </c>
    </row>
    <row r="35" spans="1:11" ht="21.6" customHeight="1" thickBot="1">
      <c r="A35" s="99"/>
      <c r="B35" s="9">
        <v>600</v>
      </c>
      <c r="C35" s="10">
        <v>500</v>
      </c>
      <c r="D35" s="111"/>
      <c r="E35" s="11">
        <v>33</v>
      </c>
      <c r="G35" s="1" t="s">
        <v>98</v>
      </c>
      <c r="H35" s="12">
        <v>12.1</v>
      </c>
      <c r="I35" s="12">
        <f>B35*C35/1000000*H35+E35/1000</f>
        <v>3.6629999999999998</v>
      </c>
      <c r="J35" s="12">
        <f>IF(J26=3,I35,J36)</f>
        <v>3.6329999999999996</v>
      </c>
    </row>
    <row r="36" spans="1:11" ht="30" customHeight="1">
      <c r="A36" s="97">
        <v>2</v>
      </c>
      <c r="B36" s="100" t="s">
        <v>139</v>
      </c>
      <c r="C36" s="101"/>
      <c r="D36" s="101"/>
      <c r="E36" s="102"/>
      <c r="F36" s="29"/>
      <c r="G36" s="1" t="s">
        <v>99</v>
      </c>
      <c r="H36" s="12">
        <v>14.5</v>
      </c>
      <c r="I36" s="12">
        <f>B35*C35/1000000*H36+E35/1000</f>
        <v>4.383</v>
      </c>
      <c r="J36" s="12">
        <f>IF(J26=4,I36,J37)</f>
        <v>3.6329999999999996</v>
      </c>
      <c r="K36" s="29"/>
    </row>
    <row r="37" spans="1:11" ht="42" customHeight="1">
      <c r="A37" s="98"/>
      <c r="B37" s="103"/>
      <c r="C37" s="2" t="s">
        <v>103</v>
      </c>
      <c r="D37" s="137" t="s">
        <v>104</v>
      </c>
      <c r="E37" s="138"/>
      <c r="F37" s="29"/>
      <c r="G37" s="1" t="s">
        <v>100</v>
      </c>
      <c r="H37" s="12">
        <v>11</v>
      </c>
      <c r="I37" s="12">
        <f>B35*C35/1000000*H37+E35/1000</f>
        <v>3.3329999999999997</v>
      </c>
      <c r="J37" s="12">
        <f>IF(J26=5,I37,J38)</f>
        <v>3.6329999999999996</v>
      </c>
      <c r="K37" s="29"/>
    </row>
    <row r="38" spans="1:11" ht="27.6" customHeight="1" thickBot="1">
      <c r="A38" s="99"/>
      <c r="B38" s="104"/>
      <c r="C38" s="15">
        <f>IF(J26=1,I33,J34)</f>
        <v>3.6329999999999996</v>
      </c>
      <c r="D38" s="128">
        <f>C38*B35</f>
        <v>2179.7999999999997</v>
      </c>
      <c r="E38" s="129"/>
      <c r="G38" s="1" t="s">
        <v>101</v>
      </c>
      <c r="H38" s="12">
        <v>12</v>
      </c>
      <c r="I38" s="12">
        <f>B35*C35/1000000*H38+E35/1000</f>
        <v>3.6329999999999996</v>
      </c>
      <c r="J38" s="12">
        <f>IF(J26=6,I38,J39)</f>
        <v>3.6329999999999996</v>
      </c>
    </row>
    <row r="39" spans="1:11" ht="29.45" customHeight="1">
      <c r="A39" s="77">
        <v>3</v>
      </c>
      <c r="B39" s="130" t="s">
        <v>130</v>
      </c>
      <c r="C39" s="41" t="s">
        <v>135</v>
      </c>
      <c r="D39" s="132" t="s">
        <v>136</v>
      </c>
      <c r="E39" s="133"/>
      <c r="G39" s="1" t="s">
        <v>102</v>
      </c>
      <c r="H39" s="12">
        <v>11.2</v>
      </c>
      <c r="I39" s="12">
        <f>B35*C35/1000000*H39+E35/1000</f>
        <v>3.3929999999999998</v>
      </c>
      <c r="J39" s="12">
        <f>IF(J26=7,I39,J40)</f>
        <v>0</v>
      </c>
    </row>
    <row r="40" spans="1:11" ht="29.45" customHeight="1" thickBot="1">
      <c r="A40" s="79"/>
      <c r="B40" s="131"/>
      <c r="C40" s="44" t="str">
        <f>G40</f>
        <v/>
      </c>
      <c r="D40" s="134" t="str">
        <f>G41</f>
        <v>2sets of SE2FAH01</v>
      </c>
      <c r="E40" s="135"/>
      <c r="G40" s="29" t="str">
        <f>IF(D38&lt;200,"the door is too small",IF(D38&lt;500,"SE2FAL01",IF(D38&lt;960,"SE2FAM01",IF(D38&lt;=2050,"SE2FAH01",""))))</f>
        <v/>
      </c>
    </row>
    <row r="41" spans="1:11" ht="56.45" customHeight="1">
      <c r="A41" s="97">
        <v>4</v>
      </c>
      <c r="B41" s="122" t="s">
        <v>137</v>
      </c>
      <c r="C41" s="123"/>
      <c r="D41" s="123"/>
      <c r="E41" s="124"/>
      <c r="G41" s="29" t="str">
        <f>IF(D38&gt;4100,"the door is too big, out of range",IF(D38&gt;2050,"2sets of SE2FAH01",""))</f>
        <v>2sets of SE2FAH01</v>
      </c>
    </row>
    <row r="42" spans="1:11">
      <c r="A42" s="98"/>
      <c r="B42" s="27" t="s">
        <v>105</v>
      </c>
      <c r="C42" s="28" t="s">
        <v>123</v>
      </c>
      <c r="D42" s="118" t="s">
        <v>121</v>
      </c>
      <c r="E42" s="119"/>
    </row>
    <row r="43" spans="1:11">
      <c r="A43" s="98"/>
      <c r="B43" s="16" t="s">
        <v>68</v>
      </c>
      <c r="C43" s="5" t="s">
        <v>20</v>
      </c>
      <c r="D43" s="86">
        <v>600</v>
      </c>
      <c r="E43" s="87"/>
    </row>
    <row r="44" spans="1:11">
      <c r="A44" s="98"/>
      <c r="B44" s="16" t="s">
        <v>69</v>
      </c>
      <c r="C44" s="5" t="s">
        <v>66</v>
      </c>
      <c r="D44" s="86">
        <v>950</v>
      </c>
      <c r="E44" s="87"/>
    </row>
    <row r="45" spans="1:11" ht="15.75" thickBot="1">
      <c r="A45" s="99"/>
      <c r="B45" s="17" t="s">
        <v>70</v>
      </c>
      <c r="C45" s="6" t="s">
        <v>67</v>
      </c>
      <c r="D45" s="120">
        <v>1505</v>
      </c>
      <c r="E45" s="121"/>
    </row>
    <row r="46" spans="1:11">
      <c r="A46" s="80" t="s">
        <v>106</v>
      </c>
      <c r="B46" s="81"/>
      <c r="C46" s="81"/>
      <c r="D46" s="81"/>
      <c r="E46" s="82"/>
    </row>
    <row r="47" spans="1:11" ht="15.75" thickBot="1">
      <c r="A47" s="83"/>
      <c r="B47" s="84"/>
      <c r="C47" s="84"/>
      <c r="D47" s="84"/>
      <c r="E47" s="85"/>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5"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8" zoomScale="115" zoomScaleNormal="115" workbookViewId="0">
      <selection activeCell="F28" sqref="F28"/>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5" t="s">
        <v>140</v>
      </c>
      <c r="B1" s="89"/>
      <c r="C1" s="89"/>
      <c r="D1" s="89"/>
      <c r="E1" s="90"/>
      <c r="I1" s="109" t="s">
        <v>111</v>
      </c>
      <c r="J1" s="109"/>
      <c r="K1" s="13">
        <v>4</v>
      </c>
    </row>
    <row r="2" spans="1:11" ht="30" customHeight="1">
      <c r="A2" s="91"/>
      <c r="B2" s="92"/>
      <c r="C2" s="92"/>
      <c r="D2" s="92"/>
      <c r="E2" s="93"/>
    </row>
    <row r="3" spans="1:11" ht="30" customHeight="1">
      <c r="A3" s="91"/>
      <c r="B3" s="92"/>
      <c r="C3" s="92"/>
      <c r="D3" s="92"/>
      <c r="E3" s="93"/>
    </row>
    <row r="4" spans="1:11" ht="30" customHeight="1">
      <c r="A4" s="91"/>
      <c r="B4" s="92"/>
      <c r="C4" s="92"/>
      <c r="D4" s="92"/>
      <c r="E4" s="93"/>
    </row>
    <row r="5" spans="1:11" ht="14.65" customHeight="1">
      <c r="A5" s="91"/>
      <c r="B5" s="92"/>
      <c r="C5" s="92"/>
      <c r="D5" s="92"/>
      <c r="E5" s="93"/>
    </row>
    <row r="6" spans="1:11" ht="14.65" customHeight="1">
      <c r="A6" s="91"/>
      <c r="B6" s="92"/>
      <c r="C6" s="92"/>
      <c r="D6" s="92"/>
      <c r="E6" s="93"/>
    </row>
    <row r="7" spans="1:11" ht="15" customHeight="1" thickBot="1">
      <c r="A7" s="94"/>
      <c r="B7" s="95"/>
      <c r="C7" s="95"/>
      <c r="D7" s="95"/>
      <c r="E7" s="96"/>
      <c r="H7" s="1" t="s">
        <v>95</v>
      </c>
      <c r="I7" s="1" t="s">
        <v>92</v>
      </c>
      <c r="J7" s="1" t="s">
        <v>93</v>
      </c>
      <c r="K7" s="1" t="s">
        <v>94</v>
      </c>
    </row>
    <row r="8" spans="1:11" ht="30" customHeight="1">
      <c r="A8" s="98">
        <v>1</v>
      </c>
      <c r="B8" s="112" t="s">
        <v>147</v>
      </c>
      <c r="C8" s="113"/>
      <c r="D8" s="113"/>
      <c r="E8" s="114"/>
      <c r="H8" s="1" t="s">
        <v>96</v>
      </c>
      <c r="I8" s="12">
        <v>10.9</v>
      </c>
      <c r="J8" s="12">
        <f>B10*C10/1000000*I8+E10/1000</f>
        <v>9.2560000000000002</v>
      </c>
      <c r="K8" s="13" t="s">
        <v>4</v>
      </c>
    </row>
    <row r="9" spans="1:11">
      <c r="A9" s="98"/>
      <c r="B9" s="7" t="s">
        <v>113</v>
      </c>
      <c r="C9" s="8" t="s">
        <v>107</v>
      </c>
      <c r="D9" s="110" t="s">
        <v>0</v>
      </c>
      <c r="E9" s="21" t="s">
        <v>90</v>
      </c>
      <c r="H9" s="1" t="s">
        <v>97</v>
      </c>
      <c r="I9" s="12">
        <v>12.2</v>
      </c>
      <c r="J9" s="12">
        <f>B10*C10/1000000*I9+E10/1000</f>
        <v>10.347999999999999</v>
      </c>
      <c r="K9" s="12">
        <f>IF(K1=2,J9,K10)</f>
        <v>12.28</v>
      </c>
    </row>
    <row r="10" spans="1:11" ht="30" customHeight="1" thickBot="1">
      <c r="A10" s="99"/>
      <c r="B10" s="9">
        <v>700</v>
      </c>
      <c r="C10" s="10">
        <v>1200</v>
      </c>
      <c r="D10" s="111"/>
      <c r="E10" s="11">
        <v>100</v>
      </c>
      <c r="H10" s="1" t="s">
        <v>98</v>
      </c>
      <c r="I10" s="12">
        <v>12.1</v>
      </c>
      <c r="J10" s="12">
        <f>B10*C10/1000000*I10+E10/1000</f>
        <v>10.263999999999999</v>
      </c>
      <c r="K10" s="12">
        <f>IF(K1=3,J10,K11)</f>
        <v>12.28</v>
      </c>
    </row>
    <row r="11" spans="1:11" ht="30" customHeight="1">
      <c r="A11" s="97">
        <v>2</v>
      </c>
      <c r="B11" s="100" t="s">
        <v>148</v>
      </c>
      <c r="C11" s="101"/>
      <c r="D11" s="101"/>
      <c r="E11" s="102"/>
      <c r="H11" s="1" t="s">
        <v>99</v>
      </c>
      <c r="I11" s="12">
        <v>14.5</v>
      </c>
      <c r="J11" s="12">
        <f>B10*C10/1000000*I11+E10/1000</f>
        <v>12.28</v>
      </c>
      <c r="K11" s="12">
        <f>IF(K1=4,J11,K12)</f>
        <v>12.28</v>
      </c>
    </row>
    <row r="12" spans="1:11">
      <c r="A12" s="98"/>
      <c r="B12" s="103"/>
      <c r="C12" s="2" t="s">
        <v>103</v>
      </c>
      <c r="D12" s="137" t="s">
        <v>112</v>
      </c>
      <c r="E12" s="138"/>
      <c r="H12" s="1" t="s">
        <v>126</v>
      </c>
      <c r="I12" s="12">
        <v>16.5</v>
      </c>
      <c r="J12" s="12">
        <f>B10*C10/1000000*I12+E10/1000</f>
        <v>13.959999999999999</v>
      </c>
      <c r="K12" s="12">
        <f>IF(K1=5,J12,K13)</f>
        <v>0</v>
      </c>
    </row>
    <row r="13" spans="1:11" ht="30" customHeight="1" thickBot="1">
      <c r="A13" s="99"/>
      <c r="B13" s="104"/>
      <c r="C13" s="18">
        <f>IF(K1=1,J8,K9)</f>
        <v>12.28</v>
      </c>
      <c r="D13" s="128">
        <f>B10</f>
        <v>700</v>
      </c>
      <c r="E13" s="129"/>
      <c r="H13" s="1" t="s">
        <v>100</v>
      </c>
      <c r="I13" s="12">
        <v>11</v>
      </c>
      <c r="J13" s="12">
        <f>B10*C10/1000000*I13+E10/1000</f>
        <v>9.34</v>
      </c>
      <c r="K13" s="12">
        <f>IF(K1=6,J13,K14)</f>
        <v>0</v>
      </c>
    </row>
    <row r="14" spans="1:11" ht="80.099999999999994" customHeight="1" thickBot="1">
      <c r="A14" s="97">
        <v>3</v>
      </c>
      <c r="B14" s="122" t="s">
        <v>149</v>
      </c>
      <c r="C14" s="123"/>
      <c r="D14" s="123"/>
      <c r="E14" s="124"/>
      <c r="F14" s="141" t="s">
        <v>146</v>
      </c>
      <c r="G14" s="142"/>
      <c r="H14" s="36" t="s">
        <v>101</v>
      </c>
      <c r="I14" s="12">
        <v>12</v>
      </c>
      <c r="J14" s="12">
        <f>B10*C10/1000000*I14+E10/1000</f>
        <v>10.18</v>
      </c>
      <c r="K14" s="12">
        <f>IF(K1=7,J14,K15)</f>
        <v>0</v>
      </c>
    </row>
    <row r="15" spans="1:11" ht="33" customHeight="1" thickBot="1">
      <c r="A15" s="98"/>
      <c r="B15" s="3" t="s">
        <v>105</v>
      </c>
      <c r="C15" s="2" t="s">
        <v>103</v>
      </c>
      <c r="D15" s="137" t="s">
        <v>112</v>
      </c>
      <c r="E15" s="138"/>
      <c r="F15" s="50" t="s">
        <v>141</v>
      </c>
      <c r="G15" s="49" t="s">
        <v>129</v>
      </c>
      <c r="H15" s="36" t="s">
        <v>127</v>
      </c>
      <c r="I15" s="12">
        <v>15</v>
      </c>
      <c r="J15" s="12">
        <f>B10*C10/1000000*I15+E10/1000</f>
        <v>12.7</v>
      </c>
      <c r="K15" s="12">
        <f>IF(K1=8,J15,K16)</f>
        <v>0</v>
      </c>
    </row>
    <row r="16" spans="1:11">
      <c r="A16" s="98"/>
      <c r="B16" s="16" t="s">
        <v>26</v>
      </c>
      <c r="C16" s="14" t="s">
        <v>62</v>
      </c>
      <c r="D16" s="86" t="s">
        <v>22</v>
      </c>
      <c r="E16" s="87"/>
      <c r="F16" s="51" t="str">
        <f>H17</f>
        <v/>
      </c>
      <c r="G16" s="45" t="str">
        <f>I17</f>
        <v/>
      </c>
      <c r="H16" s="35" t="s">
        <v>102</v>
      </c>
      <c r="I16" s="30">
        <v>11.2</v>
      </c>
      <c r="J16" s="12">
        <f>B10*C10/1000000*I16+E10/1000</f>
        <v>9.5079999999999991</v>
      </c>
      <c r="K16" s="12">
        <f>IF(K1=9,J16,K17)</f>
        <v>0</v>
      </c>
    </row>
    <row r="17" spans="1:11">
      <c r="A17" s="98"/>
      <c r="B17" s="16" t="s">
        <v>27</v>
      </c>
      <c r="C17" s="14" t="s">
        <v>34</v>
      </c>
      <c r="D17" s="86" t="s">
        <v>22</v>
      </c>
      <c r="E17" s="87"/>
      <c r="F17" s="51" t="str">
        <f t="shared" ref="F17:F33" si="0">H18</f>
        <v/>
      </c>
      <c r="G17" s="45" t="str">
        <f t="shared" ref="G17:G33" si="1">I18</f>
        <v/>
      </c>
      <c r="H17" s="47" t="str">
        <f>IF(($C$13&gt;5)*($C$13&lt;9.6)*($D$13&gt;=480)*($D$13&lt;=529),"ST01AL02A","")</f>
        <v/>
      </c>
      <c r="I17" s="48" t="str">
        <f>IF(($C$13&gt;5)*($C$13&lt;9.6)*($D$13&gt;=480)*($D$13&lt;=529),"ST01AL02B","")</f>
        <v/>
      </c>
    </row>
    <row r="18" spans="1:11">
      <c r="A18" s="98"/>
      <c r="B18" s="16" t="s">
        <v>28</v>
      </c>
      <c r="C18" s="14" t="s">
        <v>23</v>
      </c>
      <c r="D18" s="86" t="s">
        <v>25</v>
      </c>
      <c r="E18" s="87"/>
      <c r="F18" s="51" t="str">
        <f t="shared" si="0"/>
        <v/>
      </c>
      <c r="G18" s="45" t="str">
        <f t="shared" si="1"/>
        <v/>
      </c>
      <c r="H18" s="47" t="str">
        <f>IF(($C$13&gt;=9.6)*($C$13&lt;16)*($D$13&gt;=480)*($D$13&lt;=529),"ST01AM02A","")</f>
        <v/>
      </c>
      <c r="I18" s="48" t="str">
        <f>IF(($C$13&gt;=9.6)*($C$13&lt;16)*($D$13&gt;=480)*($D$13&lt;=529),"ST01AM02B","")</f>
        <v/>
      </c>
    </row>
    <row r="19" spans="1:11">
      <c r="A19" s="98"/>
      <c r="B19" s="16" t="s">
        <v>29</v>
      </c>
      <c r="C19" s="14" t="s">
        <v>24</v>
      </c>
      <c r="D19" s="86" t="s">
        <v>25</v>
      </c>
      <c r="E19" s="87"/>
      <c r="F19" s="51" t="str">
        <f t="shared" si="0"/>
        <v/>
      </c>
      <c r="G19" s="45" t="str">
        <f t="shared" si="1"/>
        <v/>
      </c>
      <c r="H19" s="47" t="str">
        <f>IF(($C$13&gt;4.5)*($C$13&lt;8.7)*($D$13&gt;=530)*($D$13&lt;=589),"ST02AL02A","")</f>
        <v/>
      </c>
      <c r="I19" s="48" t="str">
        <f>IF(($C$13&gt;4.5)*($C$13&lt;8.7)*($D$13&gt;=530)*($D$13&lt;=589),"ST02AL02B","")</f>
        <v/>
      </c>
      <c r="J19" s="22"/>
      <c r="K19" s="22"/>
    </row>
    <row r="20" spans="1:11">
      <c r="A20" s="98"/>
      <c r="B20" s="16" t="s">
        <v>30</v>
      </c>
      <c r="C20" s="14" t="s">
        <v>33</v>
      </c>
      <c r="D20" s="86" t="s">
        <v>32</v>
      </c>
      <c r="E20" s="87"/>
      <c r="F20" s="51" t="str">
        <f t="shared" si="0"/>
        <v/>
      </c>
      <c r="G20" s="45" t="str">
        <f t="shared" si="1"/>
        <v/>
      </c>
      <c r="H20" s="47" t="str">
        <f>IF(($C$13&gt;=8.7)*($C$13&lt;14.4)*($D$13&gt;=530)*($D$13&lt;=589),"ST02AM02A","")</f>
        <v/>
      </c>
      <c r="I20" s="48" t="str">
        <f>IF(($C$13&gt;=8.7)*($C$13&lt;14.4)*($D$13&gt;=530)*($D$13&lt;=589),"ST02AM02B","")</f>
        <v/>
      </c>
      <c r="J20" s="22"/>
      <c r="K20" s="22"/>
    </row>
    <row r="21" spans="1:11">
      <c r="A21" s="98"/>
      <c r="B21" s="16" t="s">
        <v>31</v>
      </c>
      <c r="C21" s="14" t="s">
        <v>35</v>
      </c>
      <c r="D21" s="86" t="s">
        <v>32</v>
      </c>
      <c r="E21" s="87"/>
      <c r="F21" s="51" t="str">
        <f t="shared" si="0"/>
        <v/>
      </c>
      <c r="G21" s="45" t="str">
        <f t="shared" si="1"/>
        <v/>
      </c>
      <c r="H21" s="47" t="str">
        <f>IF(($C$13&gt;4.1)*($C$13&lt;7.8)*($D$13&gt;=590)*($D$13&lt;=649),"ST03AL02A","")</f>
        <v/>
      </c>
      <c r="I21" s="48" t="str">
        <f>IF(($C$13&gt;4.1)*($C$13&lt;7.8)*($D$13&gt;=590)*($D$13&lt;=649),"ST03AL02B","")</f>
        <v/>
      </c>
      <c r="J21" s="22"/>
      <c r="K21" s="22"/>
    </row>
    <row r="22" spans="1:11">
      <c r="A22" s="98"/>
      <c r="B22" s="16" t="s">
        <v>36</v>
      </c>
      <c r="C22" s="14" t="s">
        <v>39</v>
      </c>
      <c r="D22" s="86" t="s">
        <v>51</v>
      </c>
      <c r="E22" s="87"/>
      <c r="F22" s="51" t="str">
        <f t="shared" si="0"/>
        <v/>
      </c>
      <c r="G22" s="45" t="str">
        <f t="shared" si="1"/>
        <v/>
      </c>
      <c r="H22" s="47" t="str">
        <f>IF(($C$13&gt;=7.8)*($C$13&lt;13)*($D$13&gt;=590)*($D$13&lt;=649),"ST03AM02A","")</f>
        <v/>
      </c>
      <c r="I22" s="48" t="str">
        <f>IF(($C$13&gt;=7.8)*($C$13&lt;13)*($D$13&gt;=590)*($D$13&lt;=649),"ST03AM02B","")</f>
        <v/>
      </c>
      <c r="J22" s="22"/>
      <c r="K22" s="22"/>
    </row>
    <row r="23" spans="1:11">
      <c r="A23" s="98"/>
      <c r="B23" s="16" t="s">
        <v>37</v>
      </c>
      <c r="C23" s="14" t="s">
        <v>40</v>
      </c>
      <c r="D23" s="86" t="s">
        <v>51</v>
      </c>
      <c r="E23" s="87"/>
      <c r="F23" s="51" t="str">
        <f t="shared" si="0"/>
        <v/>
      </c>
      <c r="G23" s="45" t="str">
        <f t="shared" si="1"/>
        <v/>
      </c>
      <c r="H23" s="47" t="str">
        <f>IF(($C$13&gt;3.7)*($C$13&lt;7)*($D$13&gt;=650)*($D$13&lt;=729),"ST04AL02A","")</f>
        <v/>
      </c>
      <c r="I23" s="48" t="str">
        <f>IF(($C$13&gt;3.7)*($C$13&lt;7)*($D$13&gt;=650)*($D$13&lt;=729),"ST04AL02B","")</f>
        <v/>
      </c>
      <c r="J23" s="22"/>
      <c r="K23" s="22"/>
    </row>
    <row r="24" spans="1:11">
      <c r="A24" s="98"/>
      <c r="B24" s="19" t="s">
        <v>38</v>
      </c>
      <c r="C24" s="14" t="s">
        <v>41</v>
      </c>
      <c r="D24" s="86" t="s">
        <v>51</v>
      </c>
      <c r="E24" s="87"/>
      <c r="F24" s="51" t="str">
        <f t="shared" si="0"/>
        <v>ST04AH02A</v>
      </c>
      <c r="G24" s="45" t="str">
        <f t="shared" si="1"/>
        <v>ST04AH02B</v>
      </c>
      <c r="H24" s="47" t="str">
        <f>IF(($C$13&gt;=7)*($C$13&lt;11.5)*($D$13&gt;=650)*($D$13&lt;=729),"ST04AM02A","")</f>
        <v/>
      </c>
      <c r="I24" s="48" t="str">
        <f>IF(($C$13&gt;=7)*($C$13&lt;11.5)*($D$13&gt;=650)*($D$13&lt;=729),"ST04AM02B","")</f>
        <v/>
      </c>
      <c r="J24" s="22"/>
      <c r="K24" s="22"/>
    </row>
    <row r="25" spans="1:11">
      <c r="A25" s="143"/>
      <c r="B25" s="16" t="s">
        <v>42</v>
      </c>
      <c r="C25" s="14" t="s">
        <v>45</v>
      </c>
      <c r="D25" s="86" t="s">
        <v>52</v>
      </c>
      <c r="E25" s="87"/>
      <c r="F25" s="51" t="str">
        <f t="shared" si="0"/>
        <v/>
      </c>
      <c r="G25" s="45" t="str">
        <f t="shared" si="1"/>
        <v/>
      </c>
      <c r="H25" s="47" t="str">
        <f>IF(($C$13&gt;=11.5)*($C$13&lt;19.8)*($D$13&gt;=650)*($D$13&lt;=729),"ST04AH02A","")</f>
        <v>ST04AH02A</v>
      </c>
      <c r="I25" s="48" t="str">
        <f>IF(($C$13&gt;=11.5)*($C$13&lt;19.8)*($D$13&gt;=650)*($D$13&lt;=729),"ST04AH02B","")</f>
        <v>ST04AH02B</v>
      </c>
      <c r="J25" s="22"/>
      <c r="K25" s="22"/>
    </row>
    <row r="26" spans="1:11">
      <c r="A26" s="98"/>
      <c r="B26" s="16" t="s">
        <v>43</v>
      </c>
      <c r="C26" s="14" t="s">
        <v>46</v>
      </c>
      <c r="D26" s="86" t="s">
        <v>52</v>
      </c>
      <c r="E26" s="87"/>
      <c r="F26" s="51" t="str">
        <f t="shared" si="0"/>
        <v/>
      </c>
      <c r="G26" s="45" t="str">
        <f t="shared" si="1"/>
        <v/>
      </c>
      <c r="H26" s="47" t="str">
        <f>IF(($C$13&gt;3.2)*($C$13&lt;6.3)*($D$13&gt;=730)*($D$13&lt;=799),"ST05AL02A","")</f>
        <v/>
      </c>
      <c r="I26" s="48" t="str">
        <f>IF(($C$13&gt;3.2)*($C$13&lt;6.3)*($D$13&gt;=730)*($D$13&lt;=799),"ST05AL02B","")</f>
        <v/>
      </c>
      <c r="J26" s="22"/>
      <c r="K26" s="22"/>
    </row>
    <row r="27" spans="1:11">
      <c r="A27" s="98"/>
      <c r="B27" s="19" t="s">
        <v>44</v>
      </c>
      <c r="C27" s="14" t="s">
        <v>47</v>
      </c>
      <c r="D27" s="86" t="s">
        <v>52</v>
      </c>
      <c r="E27" s="87"/>
      <c r="F27" s="51" t="str">
        <f t="shared" si="0"/>
        <v/>
      </c>
      <c r="G27" s="45" t="str">
        <f t="shared" si="1"/>
        <v/>
      </c>
      <c r="H27" s="47" t="str">
        <f>IF(($C$13&gt;=6.3)*($C$13&lt;10.5)*($D$13&gt;=730)*($D$13&lt;=799),"ST05AM02A","")</f>
        <v/>
      </c>
      <c r="I27" s="48" t="str">
        <f>IF(($C$13&gt;=6.3)*($C$13&lt;10.5)*($D$13&gt;=730)*($D$13&lt;=799),"ST05AM02B","")</f>
        <v/>
      </c>
    </row>
    <row r="28" spans="1:11">
      <c r="A28" s="98"/>
      <c r="B28" s="16" t="s">
        <v>48</v>
      </c>
      <c r="C28" s="14" t="s">
        <v>63</v>
      </c>
      <c r="D28" s="86" t="s">
        <v>53</v>
      </c>
      <c r="E28" s="87"/>
      <c r="F28" s="51" t="str">
        <f t="shared" si="0"/>
        <v/>
      </c>
      <c r="G28" s="45" t="str">
        <f t="shared" si="1"/>
        <v/>
      </c>
      <c r="H28" s="47" t="str">
        <f>IF(($C$13&gt;=10.5)*($C$13&lt;18.1)*($D$13&gt;=730)*($D$13&lt;=799),"ST05AH02A","")</f>
        <v/>
      </c>
      <c r="I28" s="48" t="str">
        <f>IF(($C$13&gt;=10.5)*($C$13&lt;18.1)*($D$13&gt;=730)*($D$13&lt;=799),"ST05AH02B","")</f>
        <v/>
      </c>
    </row>
    <row r="29" spans="1:11">
      <c r="A29" s="98"/>
      <c r="B29" s="19" t="s">
        <v>49</v>
      </c>
      <c r="C29" s="14" t="s">
        <v>50</v>
      </c>
      <c r="D29" s="86" t="s">
        <v>53</v>
      </c>
      <c r="E29" s="87"/>
      <c r="F29" s="51" t="str">
        <f t="shared" si="0"/>
        <v/>
      </c>
      <c r="G29" s="45" t="str">
        <f t="shared" si="1"/>
        <v/>
      </c>
      <c r="H29" s="47" t="str">
        <f>IF(($C$13&gt;5.8)*($C$13&lt;9.5)*($D$13&gt;=800)*($D$13&lt;=879),"ST06AM02A","")</f>
        <v/>
      </c>
      <c r="I29" s="48" t="str">
        <f>IF(($C$13&gt;5.8)*($C$13&lt;9.5)*($D$13&gt;=800)*($D$13&lt;=879),"ST06AM02B","")</f>
        <v/>
      </c>
    </row>
    <row r="30" spans="1:11">
      <c r="A30" s="98"/>
      <c r="B30" s="16" t="s">
        <v>54</v>
      </c>
      <c r="C30" s="14" t="s">
        <v>56</v>
      </c>
      <c r="D30" s="86" t="s">
        <v>58</v>
      </c>
      <c r="E30" s="87"/>
      <c r="F30" s="51" t="str">
        <f t="shared" si="0"/>
        <v/>
      </c>
      <c r="G30" s="45" t="str">
        <f t="shared" si="1"/>
        <v/>
      </c>
      <c r="H30" s="47" t="str">
        <f>IF(($C$13&gt;=9.5)*($C$13&lt;16.5)*($D$13&gt;=800)*($D$13&lt;=879),"ST06AH02A","")</f>
        <v/>
      </c>
      <c r="I30" s="48" t="str">
        <f>IF(($C$13&gt;=9.5)*($C$13&lt;16.5)*($D$13&gt;=800)*($D$13&lt;=879),"ST06AH02B","")</f>
        <v/>
      </c>
    </row>
    <row r="31" spans="1:11">
      <c r="A31" s="98"/>
      <c r="B31" s="19" t="s">
        <v>55</v>
      </c>
      <c r="C31" s="14" t="s">
        <v>57</v>
      </c>
      <c r="D31" s="86" t="s">
        <v>58</v>
      </c>
      <c r="E31" s="87"/>
      <c r="F31" s="51" t="str">
        <f t="shared" si="0"/>
        <v/>
      </c>
      <c r="G31" s="45" t="str">
        <f t="shared" si="1"/>
        <v/>
      </c>
      <c r="H31" s="47" t="str">
        <f>IF(($C$13&gt;5.2)*($C$13&lt;8.7)*($D$13&gt;=880)*($D$13&lt;=959),"ST07AM02A","")</f>
        <v/>
      </c>
      <c r="I31" s="48" t="str">
        <f>IF(($C$13&gt;5.2)*($C$13&lt;8.7)*($D$13&gt;=880)*($D$13&lt;=959),"ST07AM02B","")</f>
        <v/>
      </c>
    </row>
    <row r="32" spans="1:11">
      <c r="A32" s="98"/>
      <c r="B32" s="19" t="s">
        <v>64</v>
      </c>
      <c r="C32" s="14" t="s">
        <v>65</v>
      </c>
      <c r="D32" s="86" t="s">
        <v>61</v>
      </c>
      <c r="E32" s="87"/>
      <c r="F32" s="51" t="str">
        <f t="shared" si="0"/>
        <v/>
      </c>
      <c r="G32" s="45" t="str">
        <f t="shared" si="1"/>
        <v/>
      </c>
      <c r="H32" s="47" t="str">
        <f>IF(($C$13&gt;=8.7)*($C$13&lt;15.1)*($D$13&gt;=880)*($D$13&lt;=959),"ST07AH02A","")</f>
        <v/>
      </c>
      <c r="I32" s="48" t="str">
        <f>IF(($C$13&gt;=8.7)*($C$13&lt;15.1)*($D$13&gt;=880)*($D$13&lt;=959),"ST07AH02B","")</f>
        <v/>
      </c>
    </row>
    <row r="33" spans="1:9" ht="15.75" thickBot="1">
      <c r="A33" s="98"/>
      <c r="B33" s="19" t="s">
        <v>59</v>
      </c>
      <c r="C33" s="14" t="s">
        <v>60</v>
      </c>
      <c r="D33" s="86" t="s">
        <v>61</v>
      </c>
      <c r="E33" s="87"/>
      <c r="F33" s="52" t="str">
        <f t="shared" si="0"/>
        <v/>
      </c>
      <c r="G33" s="46" t="str">
        <f t="shared" si="1"/>
        <v/>
      </c>
      <c r="H33" s="47" t="str">
        <f>IF(($C$13&gt;4.8)*($C$13&lt;8)*($D$13&gt;=960)*($D$13&lt;=1040),"ST08AM02A","")</f>
        <v/>
      </c>
      <c r="I33" s="48" t="str">
        <f>IF(($C$13&gt;4.8)*($C$13&lt;8)*($D$13&gt;=960)*($D$13&lt;=1040),"ST08AM02B","")</f>
        <v/>
      </c>
    </row>
    <row r="34" spans="1:9">
      <c r="A34" s="80" t="s">
        <v>106</v>
      </c>
      <c r="B34" s="81"/>
      <c r="C34" s="81"/>
      <c r="D34" s="81"/>
      <c r="E34" s="82"/>
      <c r="H34" s="47" t="str">
        <f>IF(($C$13&gt;=8)*($C$13&lt;13.9)*($D$13&gt;=960)*($D$13&lt;=1040),"ST08AH02A","")</f>
        <v/>
      </c>
      <c r="I34" s="48" t="str">
        <f>IF(($C$13&gt;=8)*($C$13&lt;13.9)*($D$13&gt;=960)*($D$13&lt;=1040),"ST08AH02B","")</f>
        <v/>
      </c>
    </row>
    <row r="35" spans="1:9" ht="15.75" thickBot="1">
      <c r="A35" s="83"/>
      <c r="B35" s="84"/>
      <c r="C35" s="84"/>
      <c r="D35" s="84"/>
      <c r="E35" s="85"/>
      <c r="I35" s="22"/>
    </row>
    <row r="36" spans="1:9">
      <c r="I36" s="22"/>
    </row>
    <row r="37" spans="1:9">
      <c r="I37" s="22"/>
    </row>
  </sheetData>
  <mergeCells count="33">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16:E16"/>
    <mergeCell ref="D29:E29"/>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s>
  <phoneticPr fontId="15"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152</v>
      </c>
      <c r="B1" s="89"/>
      <c r="C1" s="89"/>
      <c r="D1" s="89"/>
      <c r="E1" s="89"/>
      <c r="F1" s="89"/>
      <c r="G1" s="90"/>
      <c r="J1" s="109" t="s">
        <v>180</v>
      </c>
      <c r="K1" s="109"/>
      <c r="L1" s="13">
        <v>2</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65">
        <v>1</v>
      </c>
      <c r="B8" s="168" t="s">
        <v>176</v>
      </c>
      <c r="C8" s="168"/>
      <c r="D8" s="168"/>
      <c r="E8" s="168"/>
      <c r="F8" s="168"/>
      <c r="G8" s="169"/>
      <c r="I8" s="1" t="s">
        <v>96</v>
      </c>
      <c r="J8" s="12">
        <v>10.9</v>
      </c>
      <c r="K8" s="12">
        <f>B10*C10/1000000*J8+E10/1000</f>
        <v>2.7749999999999999</v>
      </c>
      <c r="L8" s="13" t="s">
        <v>4</v>
      </c>
    </row>
    <row r="9" spans="1:12" ht="19.899999999999999" customHeight="1">
      <c r="A9" s="166"/>
      <c r="B9" s="53" t="s">
        <v>173</v>
      </c>
      <c r="C9" s="53" t="s">
        <v>174</v>
      </c>
      <c r="D9" s="176" t="s">
        <v>0</v>
      </c>
      <c r="E9" s="68" t="s">
        <v>175</v>
      </c>
      <c r="F9" s="178"/>
      <c r="G9" s="179"/>
      <c r="I9" s="1" t="s">
        <v>97</v>
      </c>
      <c r="J9" s="12">
        <v>12.2</v>
      </c>
      <c r="K9" s="12">
        <f>B10*C10/1000000*J9+E10/1000</f>
        <v>3.0999999999999996</v>
      </c>
      <c r="L9" s="12">
        <f>IF(L1=2,K9,L10)</f>
        <v>3.0999999999999996</v>
      </c>
    </row>
    <row r="10" spans="1:12" ht="30" customHeight="1" thickBot="1">
      <c r="A10" s="167"/>
      <c r="B10" s="69">
        <v>500</v>
      </c>
      <c r="C10" s="69">
        <v>500</v>
      </c>
      <c r="D10" s="177"/>
      <c r="E10" s="69">
        <v>50</v>
      </c>
      <c r="F10" s="180"/>
      <c r="G10" s="181"/>
      <c r="I10" s="1" t="s">
        <v>98</v>
      </c>
      <c r="J10" s="12">
        <v>12.1</v>
      </c>
      <c r="K10" s="12">
        <f>B10*C10/1000000*J10+E10/1000</f>
        <v>3.0749999999999997</v>
      </c>
      <c r="L10" s="12">
        <f>IF(L1=3,K10,L11)</f>
        <v>0</v>
      </c>
    </row>
    <row r="11" spans="1:12" ht="40.15" customHeight="1">
      <c r="A11" s="165">
        <v>2</v>
      </c>
      <c r="B11" s="168" t="s">
        <v>177</v>
      </c>
      <c r="C11" s="168"/>
      <c r="D11" s="168"/>
      <c r="E11" s="168"/>
      <c r="F11" s="168"/>
      <c r="G11" s="169"/>
      <c r="I11" s="1" t="s">
        <v>99</v>
      </c>
      <c r="J11" s="12">
        <v>14.5</v>
      </c>
      <c r="K11" s="12">
        <f>B10*C10/1000000*J11+E10/1000</f>
        <v>3.6749999999999998</v>
      </c>
      <c r="L11" s="12">
        <f>IF(L1=4,K11,L12)</f>
        <v>0</v>
      </c>
    </row>
    <row r="12" spans="1:12" ht="19.899999999999999" customHeight="1">
      <c r="A12" s="166"/>
      <c r="B12" s="170"/>
      <c r="C12" s="53" t="s">
        <v>103</v>
      </c>
      <c r="D12" s="159" t="s">
        <v>112</v>
      </c>
      <c r="E12" s="159"/>
      <c r="F12" s="159"/>
      <c r="G12" s="172"/>
      <c r="I12" s="1" t="s">
        <v>126</v>
      </c>
      <c r="J12" s="12">
        <v>16.5</v>
      </c>
      <c r="K12" s="12">
        <f>B10*C10/1000000*J12+E10/1000</f>
        <v>4.1749999999999998</v>
      </c>
      <c r="L12" s="12">
        <f>IF(L1=5,K12,L13)</f>
        <v>0</v>
      </c>
    </row>
    <row r="13" spans="1:12" ht="19.899999999999999" customHeight="1" thickBot="1">
      <c r="A13" s="167"/>
      <c r="B13" s="171"/>
      <c r="C13" s="54">
        <f>IF(L1=1,K8,L9)</f>
        <v>3.0999999999999996</v>
      </c>
      <c r="D13" s="175">
        <f>B10</f>
        <v>500</v>
      </c>
      <c r="E13" s="175"/>
      <c r="F13" s="173"/>
      <c r="G13" s="174"/>
      <c r="I13" s="1" t="s">
        <v>100</v>
      </c>
      <c r="J13" s="12">
        <v>11</v>
      </c>
      <c r="K13" s="12">
        <f>B10*C10/1000000*J13+E10/1000</f>
        <v>2.8</v>
      </c>
      <c r="L13" s="12">
        <f>IF(L1=6,K13,L14)</f>
        <v>0</v>
      </c>
    </row>
    <row r="14" spans="1:12" ht="60" customHeight="1">
      <c r="A14" s="77">
        <v>3</v>
      </c>
      <c r="B14" s="155" t="s">
        <v>193</v>
      </c>
      <c r="C14" s="155"/>
      <c r="D14" s="155"/>
      <c r="E14" s="155"/>
      <c r="F14" s="155"/>
      <c r="G14" s="156"/>
      <c r="H14" s="55"/>
      <c r="I14" s="1" t="s">
        <v>101</v>
      </c>
      <c r="J14" s="12">
        <v>12</v>
      </c>
      <c r="K14" s="12">
        <f>B10*C10/1000000*J14+E10/1000</f>
        <v>3.05</v>
      </c>
      <c r="L14" s="12">
        <f>IF(L1=7,K14,L15)</f>
        <v>0</v>
      </c>
    </row>
    <row r="15" spans="1:12" ht="33" customHeight="1">
      <c r="A15" s="78"/>
      <c r="B15" s="56" t="s">
        <v>105</v>
      </c>
      <c r="C15" s="53" t="s">
        <v>103</v>
      </c>
      <c r="D15" s="159" t="s">
        <v>112</v>
      </c>
      <c r="E15" s="159"/>
      <c r="F15" s="57" t="s">
        <v>178</v>
      </c>
      <c r="G15" s="58" t="s">
        <v>179</v>
      </c>
      <c r="H15" s="59"/>
      <c r="I15" s="1" t="s">
        <v>127</v>
      </c>
      <c r="J15" s="12">
        <v>15</v>
      </c>
      <c r="K15" s="12">
        <f>B10*C10/1000000*J15+E10/1000</f>
        <v>3.8</v>
      </c>
      <c r="L15" s="12">
        <f>IF(L1=8,K15,L16)</f>
        <v>0</v>
      </c>
    </row>
    <row r="16" spans="1:12" ht="15" customHeight="1">
      <c r="A16" s="78"/>
      <c r="B16" s="60" t="s">
        <v>187</v>
      </c>
      <c r="C16" s="14" t="s">
        <v>153</v>
      </c>
      <c r="D16" s="86" t="s">
        <v>154</v>
      </c>
      <c r="E16" s="86"/>
      <c r="F16" s="61" t="str">
        <f t="shared" ref="F16:G31" si="0">I18</f>
        <v/>
      </c>
      <c r="G16" s="62" t="str">
        <f t="shared" si="0"/>
        <v/>
      </c>
      <c r="H16" s="47"/>
      <c r="I16" s="1" t="s">
        <v>102</v>
      </c>
      <c r="J16" s="12">
        <v>11.2</v>
      </c>
      <c r="K16" s="12">
        <f>B10*C10/1000000*J16+E10/1000</f>
        <v>2.8499999999999996</v>
      </c>
      <c r="L16" s="12">
        <f>IF(L1=9,K16,L18)</f>
        <v>0</v>
      </c>
    </row>
    <row r="17" spans="1:12" ht="15" customHeight="1">
      <c r="A17" s="78"/>
      <c r="B17" s="60" t="s">
        <v>187</v>
      </c>
      <c r="C17" s="14" t="s">
        <v>155</v>
      </c>
      <c r="D17" s="86" t="s">
        <v>156</v>
      </c>
      <c r="E17" s="86"/>
      <c r="F17" s="61" t="str">
        <f t="shared" si="0"/>
        <v/>
      </c>
      <c r="G17" s="62" t="str">
        <f t="shared" si="0"/>
        <v/>
      </c>
      <c r="H17" s="47"/>
      <c r="J17" s="63"/>
      <c r="K17" s="63"/>
      <c r="L17" s="63"/>
    </row>
    <row r="18" spans="1:12" ht="15" customHeight="1">
      <c r="A18" s="78"/>
      <c r="B18" s="60" t="s">
        <v>188</v>
      </c>
      <c r="C18" s="14" t="s">
        <v>157</v>
      </c>
      <c r="D18" s="86" t="s">
        <v>154</v>
      </c>
      <c r="E18" s="86"/>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8"/>
      <c r="B19" s="60" t="s">
        <v>188</v>
      </c>
      <c r="C19" s="14" t="s">
        <v>158</v>
      </c>
      <c r="D19" s="86" t="s">
        <v>156</v>
      </c>
      <c r="E19" s="86"/>
      <c r="F19" s="61" t="str">
        <f t="shared" si="0"/>
        <v/>
      </c>
      <c r="G19" s="62" t="str">
        <f t="shared" si="0"/>
        <v/>
      </c>
      <c r="H19" s="47"/>
      <c r="I19" s="47" t="str">
        <f>IF(($C$13&gt;1.5)*($C$13&lt;2.5)*($D$13&gt;=350)*($D$13&lt;=399),"SK00AD02A","")</f>
        <v/>
      </c>
      <c r="J19" s="48" t="str">
        <f>IF(($C$13&gt;1.5)*($C$13&lt;2.5)*($D$13&gt;=350)*($D$13&lt;=399),"SK00AD02B","")</f>
        <v/>
      </c>
    </row>
    <row r="20" spans="1:12" ht="15" customHeight="1">
      <c r="A20" s="78"/>
      <c r="B20" s="60" t="s">
        <v>188</v>
      </c>
      <c r="C20" s="14" t="s">
        <v>159</v>
      </c>
      <c r="D20" s="86" t="s">
        <v>160</v>
      </c>
      <c r="E20" s="86"/>
      <c r="F20" s="61" t="str">
        <f t="shared" si="0"/>
        <v>SK00AL02A</v>
      </c>
      <c r="G20" s="62" t="str">
        <f t="shared" si="0"/>
        <v>SK00AL02B</v>
      </c>
      <c r="H20" s="47"/>
      <c r="I20" s="47" t="str">
        <f>IF(($C$13&gt;3.5)*($C$13&lt;7.2)*($D$13&gt;=300)*($D$13&lt;=349),"SK00AL02A","")</f>
        <v/>
      </c>
      <c r="J20" s="48" t="str">
        <f>IF(($C$13&gt;3.5)*($C$13&lt;7.2)*($D$13&gt;=300)*($D$13&lt;=349),"SK00AL02B","")</f>
        <v/>
      </c>
    </row>
    <row r="21" spans="1:12" ht="15" customHeight="1">
      <c r="A21" s="78"/>
      <c r="B21" s="60" t="s">
        <v>189</v>
      </c>
      <c r="C21" s="14" t="s">
        <v>161</v>
      </c>
      <c r="D21" s="86" t="s">
        <v>154</v>
      </c>
      <c r="E21" s="86"/>
      <c r="F21" s="61" t="str">
        <f t="shared" si="0"/>
        <v/>
      </c>
      <c r="G21" s="62" t="str">
        <f t="shared" si="0"/>
        <v/>
      </c>
      <c r="H21" s="47"/>
      <c r="I21" s="47" t="str">
        <f>IF(($C$13&gt;2.5)*($C$13&lt;5)*($D$13&gt;=350)*($D$13&lt;=399),"SK00AL02A","")</f>
        <v/>
      </c>
      <c r="J21" s="48" t="str">
        <f>IF(($C$13&gt;2.5)*($C$13&lt;5)*($D$13&gt;=350)*($D$13&lt;=399),"SK00AL02B","")</f>
        <v/>
      </c>
    </row>
    <row r="22" spans="1:12" ht="15" customHeight="1">
      <c r="A22" s="78"/>
      <c r="B22" s="60" t="s">
        <v>189</v>
      </c>
      <c r="C22" s="14" t="s">
        <v>162</v>
      </c>
      <c r="D22" s="86" t="s">
        <v>156</v>
      </c>
      <c r="E22" s="86"/>
      <c r="F22" s="61" t="str">
        <f t="shared" si="0"/>
        <v/>
      </c>
      <c r="G22" s="62" t="str">
        <f t="shared" si="0"/>
        <v/>
      </c>
      <c r="H22" s="47"/>
      <c r="I22" s="47" t="str">
        <f>IF(($C$13&gt;2)*($C$13&lt;3.5)*($D$13&gt;=400)*($D$13&lt;=550),"SK00AL02A","")</f>
        <v>SK00AL02A</v>
      </c>
      <c r="J22" s="48" t="str">
        <f>IF(($C$13&gt;2)*($C$13&lt;3.5)*($D$13&gt;=400)*($D$13&lt;=550),"SK00AL02B","")</f>
        <v>SK00AL02B</v>
      </c>
    </row>
    <row r="23" spans="1:12" ht="15" customHeight="1">
      <c r="A23" s="78"/>
      <c r="B23" s="60" t="s">
        <v>189</v>
      </c>
      <c r="C23" s="14" t="s">
        <v>163</v>
      </c>
      <c r="D23" s="86" t="s">
        <v>160</v>
      </c>
      <c r="E23" s="86"/>
      <c r="F23" s="61" t="str">
        <f t="shared" si="0"/>
        <v>SK00AM02A</v>
      </c>
      <c r="G23" s="62" t="str">
        <f t="shared" si="0"/>
        <v>SK00AM02B</v>
      </c>
      <c r="H23" s="47"/>
      <c r="I23" s="47" t="str">
        <f>IF(($C$13&gt;6.5)*($C$13&lt;12)*($D$13&gt;=300)*($D$13&lt;=349),"SK00AM02A","")</f>
        <v/>
      </c>
      <c r="J23" s="48" t="str">
        <f>IF(($C$13&gt;6.5)*($C$13&lt;12)*($D$13&gt;=300)*($D$13&lt;=349),"SK00AM02B","")</f>
        <v/>
      </c>
    </row>
    <row r="24" spans="1:12" ht="15" customHeight="1">
      <c r="A24" s="78"/>
      <c r="B24" s="60" t="s">
        <v>189</v>
      </c>
      <c r="C24" s="14" t="s">
        <v>164</v>
      </c>
      <c r="D24" s="86" t="s">
        <v>165</v>
      </c>
      <c r="E24" s="86"/>
      <c r="F24" s="61" t="str">
        <f t="shared" si="0"/>
        <v>SK00AM02A</v>
      </c>
      <c r="G24" s="62" t="str">
        <f t="shared" si="0"/>
        <v>SK00AM02B</v>
      </c>
      <c r="H24" s="47"/>
      <c r="I24" s="47" t="str">
        <f>IF(($C$13&gt;4.5)*($C$13&lt;9)*($D$13&gt;=350)*($D$13&lt;=399),"SK00AM02A","")</f>
        <v/>
      </c>
      <c r="J24" s="48" t="str">
        <f>IF(($C$13&gt;4.5)*($C$13&lt;9)*($D$13&gt;=350)*($D$13&lt;=399),"SK00AM02B","")</f>
        <v/>
      </c>
    </row>
    <row r="25" spans="1:12" ht="15" customHeight="1">
      <c r="A25" s="78"/>
      <c r="B25" s="60" t="s">
        <v>190</v>
      </c>
      <c r="C25" s="14" t="s">
        <v>166</v>
      </c>
      <c r="D25" s="86" t="s">
        <v>154</v>
      </c>
      <c r="E25" s="86"/>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8"/>
      <c r="B26" s="60" t="s">
        <v>190</v>
      </c>
      <c r="C26" s="14" t="s">
        <v>167</v>
      </c>
      <c r="D26" s="86" t="s">
        <v>156</v>
      </c>
      <c r="E26" s="86"/>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8"/>
      <c r="B27" s="60" t="s">
        <v>190</v>
      </c>
      <c r="C27" s="14" t="s">
        <v>168</v>
      </c>
      <c r="D27" s="86" t="s">
        <v>160</v>
      </c>
      <c r="E27" s="86"/>
      <c r="F27" s="61" t="str">
        <f t="shared" si="0"/>
        <v/>
      </c>
      <c r="G27" s="62" t="str">
        <f t="shared" si="0"/>
        <v/>
      </c>
      <c r="H27" s="47"/>
      <c r="I27" s="47" t="str">
        <f>IF(($C$13&gt;11)*($C$13&lt;20)*($D$13&gt;=300)*($D$13&lt;=349),"SK00AH02A","")</f>
        <v/>
      </c>
      <c r="J27" s="48" t="str">
        <f>IF(($C$13&gt;11)*($C$13&lt;20)*($D$13&gt;=300)*($D$13&lt;=349),"SK00AH02B","")</f>
        <v/>
      </c>
      <c r="K27" s="22"/>
      <c r="L27" s="22"/>
    </row>
    <row r="28" spans="1:12" ht="15" customHeight="1">
      <c r="A28" s="78"/>
      <c r="B28" s="60" t="s">
        <v>190</v>
      </c>
      <c r="C28" s="14" t="s">
        <v>169</v>
      </c>
      <c r="D28" s="86" t="s">
        <v>165</v>
      </c>
      <c r="E28" s="86"/>
      <c r="F28" s="61" t="str">
        <f t="shared" si="0"/>
        <v/>
      </c>
      <c r="G28" s="62" t="str">
        <f t="shared" si="0"/>
        <v/>
      </c>
      <c r="H28" s="47"/>
      <c r="I28" s="47" t="str">
        <f>IF(($C$13&gt;8)*($C$13&lt;14.5)*($D$13&gt;=350)*($D$13&lt;=399),"SK00AH02A","")</f>
        <v/>
      </c>
      <c r="J28" s="48" t="str">
        <f>IF(($C$13&gt;8)*($C$13&lt;14.5)*($D$13&gt;=350)*($D$13&lt;=399),"SK00AH02B","")</f>
        <v/>
      </c>
      <c r="K28" s="22"/>
      <c r="L28" s="22"/>
    </row>
    <row r="29" spans="1:12" ht="15" customHeight="1">
      <c r="A29" s="78"/>
      <c r="B29" s="60" t="s">
        <v>191</v>
      </c>
      <c r="C29" s="14" t="s">
        <v>170</v>
      </c>
      <c r="D29" s="86" t="s">
        <v>156</v>
      </c>
      <c r="E29" s="86"/>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8"/>
      <c r="B30" s="60" t="s">
        <v>191</v>
      </c>
      <c r="C30" s="14" t="s">
        <v>171</v>
      </c>
      <c r="D30" s="86" t="s">
        <v>160</v>
      </c>
      <c r="E30" s="86"/>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8"/>
      <c r="B31" s="64" t="s">
        <v>191</v>
      </c>
      <c r="C31" s="65" t="s">
        <v>172</v>
      </c>
      <c r="D31" s="154" t="s">
        <v>165</v>
      </c>
      <c r="E31" s="154"/>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7">
        <v>4</v>
      </c>
      <c r="B32" s="155" t="s">
        <v>192</v>
      </c>
      <c r="C32" s="155"/>
      <c r="D32" s="155"/>
      <c r="E32" s="155"/>
      <c r="F32" s="155"/>
      <c r="G32" s="156"/>
      <c r="H32" s="48"/>
      <c r="I32" s="47" t="str">
        <f>IF(($C$13&gt;10.5)*($C$13&lt;20)*($D$13&gt;=400)*($D$13&lt;=550),"SK00AC02A","")</f>
        <v/>
      </c>
      <c r="J32" s="48" t="str">
        <f>IF(($C$13&gt;10.5)*($C$13&lt;20)*($D$13&gt;=400)*($D$13&lt;=550),"SK00AC02B","")</f>
        <v/>
      </c>
      <c r="K32" s="22"/>
      <c r="L32" s="22"/>
    </row>
    <row r="33" spans="1:12" ht="19.899999999999999" customHeight="1">
      <c r="A33" s="78"/>
      <c r="B33" s="157" t="s">
        <v>181</v>
      </c>
      <c r="C33" s="158"/>
      <c r="D33" s="159" t="s">
        <v>112</v>
      </c>
      <c r="E33" s="159"/>
      <c r="F33" s="157" t="s">
        <v>186</v>
      </c>
      <c r="G33" s="160"/>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52" t="s">
        <v>182</v>
      </c>
      <c r="C34" s="153"/>
      <c r="D34" s="86" t="s">
        <v>154</v>
      </c>
      <c r="E34" s="86"/>
      <c r="F34" s="150" t="str">
        <f>I35</f>
        <v/>
      </c>
      <c r="G34" s="151"/>
      <c r="H34" s="48"/>
      <c r="I34" s="47"/>
      <c r="J34" s="48"/>
      <c r="K34" s="22"/>
      <c r="L34" s="22"/>
    </row>
    <row r="35" spans="1:12" ht="15" customHeight="1">
      <c r="A35" s="78"/>
      <c r="B35" s="152" t="s">
        <v>183</v>
      </c>
      <c r="C35" s="153"/>
      <c r="D35" s="86" t="s">
        <v>156</v>
      </c>
      <c r="E35" s="86"/>
      <c r="F35" s="150" t="str">
        <f t="shared" ref="F35:F36" si="1">I36</f>
        <v/>
      </c>
      <c r="G35" s="151"/>
      <c r="H35" s="48"/>
      <c r="I35" s="47" t="str">
        <f>IF(D13&lt;300,"the door is too short",IF(($D$13&gt;=300)*($D$13&lt;=349),"SK300A01",""))</f>
        <v/>
      </c>
      <c r="J35" s="48"/>
      <c r="K35" s="22"/>
      <c r="L35" s="22"/>
    </row>
    <row r="36" spans="1:12" ht="15" customHeight="1">
      <c r="A36" s="78"/>
      <c r="B36" s="152" t="s">
        <v>184</v>
      </c>
      <c r="C36" s="153"/>
      <c r="D36" s="86" t="s">
        <v>160</v>
      </c>
      <c r="E36" s="86"/>
      <c r="F36" s="150" t="str">
        <f t="shared" si="1"/>
        <v>SK400A01</v>
      </c>
      <c r="G36" s="151"/>
      <c r="H36" s="48"/>
      <c r="I36" s="47" t="str">
        <f>IF(($D$13&gt;=350)*($D$13&lt;=399),"SK350A01","")</f>
        <v/>
      </c>
      <c r="J36" s="48"/>
      <c r="K36" s="22"/>
      <c r="L36" s="22"/>
    </row>
    <row r="37" spans="1:12" ht="15" customHeight="1" thickBot="1">
      <c r="A37" s="79"/>
      <c r="B37" s="161" t="s">
        <v>185</v>
      </c>
      <c r="C37" s="162"/>
      <c r="D37" s="120" t="s">
        <v>165</v>
      </c>
      <c r="E37" s="120"/>
      <c r="F37" s="163" t="str">
        <f>I38</f>
        <v/>
      </c>
      <c r="G37" s="164"/>
      <c r="H37" s="48"/>
      <c r="I37" s="47" t="str">
        <f>IF(($D$13&gt;=400)*($D$13&lt;=550),"SK400A01","")</f>
        <v>SK400A01</v>
      </c>
      <c r="J37" s="48"/>
      <c r="K37" s="22"/>
    </row>
    <row r="38" spans="1:12" ht="15" customHeight="1">
      <c r="A38" s="144" t="s">
        <v>106</v>
      </c>
      <c r="B38" s="145"/>
      <c r="C38" s="145"/>
      <c r="D38" s="145"/>
      <c r="E38" s="145"/>
      <c r="F38" s="145"/>
      <c r="G38" s="146"/>
      <c r="I38" s="47" t="str">
        <f>IF(D13&gt;580,"the door is too high",IF(($D$13&gt;550)*($D$13&lt;=580),"SK450A01",""))</f>
        <v/>
      </c>
      <c r="J38" s="48"/>
    </row>
    <row r="39" spans="1:12" ht="15" customHeight="1" thickBot="1">
      <c r="A39" s="147"/>
      <c r="B39" s="148"/>
      <c r="C39" s="148"/>
      <c r="D39" s="148"/>
      <c r="E39" s="148"/>
      <c r="F39" s="148"/>
      <c r="G39" s="149"/>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5"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K3AAJEHMUSDA-1039207618-213</_dlc_DocId>
    <_dlc_DocIdUrl xmlns="6e264de0-91bf-42f3-abe1-69b10d1026c7">
      <Url>https://marmouris.sharepoint.com/sites/files/_layouts/15/DocIdRedir.aspx?ID=K3AAJEHMUSDA-1039207618-213</Url>
      <Description>K3AAJEHMUSDA-1039207618-213</Description>
    </_dlc_DocIdUrl>
    <TaxCatchAll xmlns="6e264de0-91bf-42f3-abe1-69b10d1026c7" xsi:nil="true"/>
    <ObjName xmlns="49bc0dba-52c4-47b1-a8b1-323b5e114931">ΜΗΧΑΝΙΣΜΟΣ ΑΝΥΨΩΣΗΣ ΓΙΑ ΠΟΡΤΑΚΙ Υ350-600mm X Π1200mm ΓΚΡΙ LF2500-4500 TOP-STAYS SQ DTC</ObjName>
    <ObjRemarks xmlns="49bc0dba-52c4-47b1-a8b1-323b5e114931" xsi:nil="true"/>
    <ObjCategory xmlns="49bc0dba-52c4-47b1-a8b1-323b5e114931">Σχεδιάγραμμα</ObjCategory>
    <ObjColor xmlns="49bc0dba-52c4-47b1-a8b1-323b5e114931" xsi:nil="true"/>
    <ObjCode xmlns="49bc0dba-52c4-47b1-a8b1-323b5e114931">408-SQ02BC03B</ObjCode>
    <ObjFilename xmlns="49bc0dba-52c4-47b1-a8b1-323b5e114931">Calculator TOP STAYS-SQ</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964E18-F26F-4B9F-AB88-EE18FB536EED}"/>
</file>

<file path=customXml/itemProps2.xml><?xml version="1.0" encoding="utf-8"?>
<ds:datastoreItem xmlns:ds="http://schemas.openxmlformats.org/officeDocument/2006/customXml" ds:itemID="{706657AB-24AB-4E37-8D6F-8C76298CE166}"/>
</file>

<file path=customXml/itemProps3.xml><?xml version="1.0" encoding="utf-8"?>
<ds:datastoreItem xmlns:ds="http://schemas.openxmlformats.org/officeDocument/2006/customXml" ds:itemID="{DB2A555D-A223-4DF3-B9B7-F92EEDD9FB3B}"/>
</file>

<file path=customXml/itemProps4.xml><?xml version="1.0" encoding="utf-8"?>
<ds:datastoreItem xmlns:ds="http://schemas.openxmlformats.org/officeDocument/2006/customXml" ds:itemID="{1546CE3F-740B-483F-A6F9-0760A2BA7C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8</vt:i4>
      </vt:variant>
    </vt:vector>
  </HeadingPairs>
  <TitlesOfParts>
    <vt:vector size="8" baseType="lpstr">
      <vt:lpstr>SQ new GR</vt:lpstr>
      <vt:lpstr>SQ old GR</vt:lpstr>
      <vt:lpstr>SQ new EN</vt:lpstr>
      <vt:lpstr>SQ old EN</vt:lpstr>
      <vt:lpstr>SF</vt:lpstr>
      <vt:lpstr>SE</vt:lpstr>
      <vt:lpstr>ST</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bb525fb8-5a14-43f5-90b0-9fbb82af31a8</vt:lpwstr>
  </property>
</Properties>
</file>