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tiff" ContentType="image/tiff"/>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embeddings/oleObject2.bin" ContentType="application/vnd.openxmlformats-officedocument.oleObject"/>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embeddings/oleObject3.bin" ContentType="application/vnd.openxmlformats-officedocument.oleObject"/>
  <Override PartName="/xl/ctrlProps/ctrlProp3.xml" ContentType="application/vnd.ms-excel.controlproperties+xml"/>
  <Override PartName="/xl/drawings/drawing3.xml" ContentType="application/vnd.openxmlformats-officedocument.drawing+xml"/>
  <Override PartName="/xl/embeddings/oleObject4.bin" ContentType="application/vnd.openxmlformats-officedocument.oleObject"/>
  <Override PartName="/xl/ctrlProps/ctrlProp4.xml" ContentType="application/vnd.ms-excel.controlproperties+xml"/>
  <Override PartName="/xl/drawings/drawing4.xml" ContentType="application/vnd.openxmlformats-officedocument.drawing+xml"/>
  <Override PartName="/xl/embeddings/oleObject5.bin" ContentType="application/vnd.openxmlformats-officedocument.oleObject"/>
  <Override PartName="/xl/embeddings/oleObject6.bin" ContentType="application/vnd.openxmlformats-officedocument.oleObject"/>
  <Override PartName="/xl/ctrlProps/ctrlProp5.xml" ContentType="application/vnd.ms-excel.controlproperties+xml"/>
  <Override PartName="/xl/ctrlProps/ctrlProp6.xml" ContentType="application/vnd.ms-excel.controlproperties+xml"/>
  <Override PartName="/xl/drawings/drawing5.xml" ContentType="application/vnd.openxmlformats-officedocument.drawing+xml"/>
  <Override PartName="/xl/embeddings/oleObject7.bin" ContentType="application/vnd.openxmlformats-officedocument.oleObject"/>
  <Override PartName="/xl/ctrlProps/ctrlProp7.xml" ContentType="application/vnd.ms-excel.controlproperties+xml"/>
  <Override PartName="/xl/drawings/drawing6.xml" ContentType="application/vnd.openxmlformats-officedocument.drawing+xml"/>
  <Override PartName="/xl/embeddings/oleObject8.bin" ContentType="application/vnd.openxmlformats-officedocument.oleObject"/>
  <Override PartName="/xl/ctrlProps/ctrlProp8.xml" ContentType="application/vnd.ms-excel.controlproperties+xml"/>
  <Override PartName="/xl/drawings/drawing7.xml" ContentType="application/vnd.openxmlformats-officedocument.drawing+xml"/>
  <Override PartName="/xl/embeddings/oleObject9.bin" ContentType="application/vnd.openxmlformats-officedocument.oleObject"/>
  <Override PartName="/xl/ctrlProps/ctrlProp9.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filterPrivacy="1"/>
  <xr:revisionPtr revIDLastSave="0" documentId="8_{3438875F-AAE1-4A75-ACC7-B0C0EC414754}" xr6:coauthVersionLast="47" xr6:coauthVersionMax="47" xr10:uidLastSave="{00000000-0000-0000-0000-000000000000}"/>
  <bookViews>
    <workbookView xWindow="-120" yWindow="-120" windowWidth="29040" windowHeight="15720" firstSheet="5" activeTab="6" xr2:uid="{00000000-000D-0000-FFFF-FFFF00000000}"/>
  </bookViews>
  <sheets>
    <sheet name="SQ new" sheetId="7" state="hidden" r:id="rId1"/>
    <sheet name="SQ old" sheetId="1" state="hidden" r:id="rId2"/>
    <sheet name="SF" sheetId="2" state="hidden" r:id="rId3"/>
    <sheet name="SE" sheetId="5" state="hidden" r:id="rId4"/>
    <sheet name="ST" sheetId="6" state="hidden" r:id="rId5"/>
    <sheet name="SK En" sheetId="9" r:id="rId6"/>
    <sheet name="SK Gr" sheetId="8" r:id="rId7"/>
  </sheets>
  <definedNames>
    <definedName name="Z_947B752F_E4E5_4C5C_81CB_1317F626B06B_.wvu.Cols" localSheetId="3" hidden="1">SE!$G:$J</definedName>
    <definedName name="Z_947B752F_E4E5_4C5C_81CB_1317F626B06B_.wvu.Cols" localSheetId="2" hidden="1">SF!$G:$J</definedName>
    <definedName name="Z_947B752F_E4E5_4C5C_81CB_1317F626B06B_.wvu.Cols" localSheetId="0" hidden="1">'SQ new'!$G:$J</definedName>
    <definedName name="Z_947B752F_E4E5_4C5C_81CB_1317F626B06B_.wvu.Cols" localSheetId="1" hidden="1">'SQ old'!$G:$J</definedName>
    <definedName name="Z_947B752F_E4E5_4C5C_81CB_1317F626B06B_.wvu.Cols" localSheetId="4" hidden="1">ST!$H:$K</definedName>
  </definedNames>
  <calcPr calcId="191029" iterateDelta="1E-4"/>
  <customWorkbookViews>
    <customWorkbookView name="DTC" guid="{947B752F-E4E5-4C5C-81CB-1317F626B06B}" maximized="1" xWindow="-11" yWindow="-11" windowWidth="3862" windowHeight="2122" activeSheetId="1"/>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8" i="9" l="1"/>
  <c r="K9" i="9"/>
  <c r="L9" i="9"/>
  <c r="C13" i="9" s="1"/>
  <c r="K10" i="9"/>
  <c r="K11" i="9"/>
  <c r="K12" i="9"/>
  <c r="D13" i="9"/>
  <c r="I36" i="9" s="1"/>
  <c r="F35" i="9" s="1"/>
  <c r="K13" i="9"/>
  <c r="K14" i="9"/>
  <c r="K15" i="9"/>
  <c r="K16" i="9"/>
  <c r="L16" i="9"/>
  <c r="L15" i="9" s="1"/>
  <c r="L14" i="9" s="1"/>
  <c r="L13" i="9" s="1"/>
  <c r="L12" i="9" s="1"/>
  <c r="L11" i="9" s="1"/>
  <c r="L10" i="9" s="1"/>
  <c r="I35" i="9"/>
  <c r="F34" i="9" s="1"/>
  <c r="I38" i="9"/>
  <c r="F37" i="9" s="1"/>
  <c r="I26" i="9" l="1"/>
  <c r="F24" i="9" s="1"/>
  <c r="I33" i="9"/>
  <c r="F31" i="9" s="1"/>
  <c r="J18" i="9"/>
  <c r="G16" i="9" s="1"/>
  <c r="J20" i="9"/>
  <c r="G18" i="9" s="1"/>
  <c r="J24" i="9"/>
  <c r="G22" i="9" s="1"/>
  <c r="J28" i="9"/>
  <c r="G26" i="9" s="1"/>
  <c r="J33" i="9"/>
  <c r="G31" i="9" s="1"/>
  <c r="I19" i="9"/>
  <c r="F17" i="9" s="1"/>
  <c r="I21" i="9"/>
  <c r="F19" i="9" s="1"/>
  <c r="I23" i="9"/>
  <c r="F21" i="9" s="1"/>
  <c r="I27" i="9"/>
  <c r="F25" i="9" s="1"/>
  <c r="I29" i="9"/>
  <c r="F27" i="9" s="1"/>
  <c r="I31" i="9"/>
  <c r="F29" i="9" s="1"/>
  <c r="J19" i="9"/>
  <c r="G17" i="9" s="1"/>
  <c r="J23" i="9"/>
  <c r="G21" i="9" s="1"/>
  <c r="J25" i="9"/>
  <c r="G23" i="9" s="1"/>
  <c r="J29" i="9"/>
  <c r="G27" i="9" s="1"/>
  <c r="I32" i="9"/>
  <c r="F30" i="9" s="1"/>
  <c r="J32" i="9"/>
  <c r="G30" i="9" s="1"/>
  <c r="I18" i="9"/>
  <c r="F16" i="9" s="1"/>
  <c r="I20" i="9"/>
  <c r="F18" i="9" s="1"/>
  <c r="I22" i="9"/>
  <c r="F20" i="9" s="1"/>
  <c r="I24" i="9"/>
  <c r="F22" i="9" s="1"/>
  <c r="I28" i="9"/>
  <c r="F26" i="9" s="1"/>
  <c r="I30" i="9"/>
  <c r="F28" i="9" s="1"/>
  <c r="J22" i="9"/>
  <c r="G20" i="9" s="1"/>
  <c r="J26" i="9"/>
  <c r="G24" i="9" s="1"/>
  <c r="J30" i="9"/>
  <c r="G28" i="9" s="1"/>
  <c r="I25" i="9"/>
  <c r="F23" i="9" s="1"/>
  <c r="J21" i="9"/>
  <c r="G19" i="9" s="1"/>
  <c r="J27" i="9"/>
  <c r="G25" i="9" s="1"/>
  <c r="J31" i="9"/>
  <c r="G29" i="9" s="1"/>
  <c r="I37" i="9"/>
  <c r="F36" i="9" s="1"/>
  <c r="D13" i="8" l="1"/>
  <c r="I38" i="8" s="1"/>
  <c r="L16" i="8"/>
  <c r="L15" i="8" s="1"/>
  <c r="L14" i="8" s="1"/>
  <c r="L13" i="8" s="1"/>
  <c r="L12" i="8" s="1"/>
  <c r="K16" i="8"/>
  <c r="K15" i="8"/>
  <c r="K14" i="8"/>
  <c r="K13" i="8"/>
  <c r="K12" i="8"/>
  <c r="K11" i="8"/>
  <c r="K10" i="8"/>
  <c r="K9" i="8"/>
  <c r="K8" i="8"/>
  <c r="I16" i="7"/>
  <c r="J16" i="7" s="1"/>
  <c r="J15" i="7" s="1"/>
  <c r="I15" i="7"/>
  <c r="I14" i="7"/>
  <c r="I13" i="7"/>
  <c r="I12" i="7"/>
  <c r="I11" i="7"/>
  <c r="I10" i="7"/>
  <c r="I9" i="7"/>
  <c r="I8" i="7"/>
  <c r="I37" i="7"/>
  <c r="I36" i="7"/>
  <c r="I35" i="7"/>
  <c r="I34" i="7"/>
  <c r="I33" i="7"/>
  <c r="I32" i="7"/>
  <c r="J14" i="7" l="1"/>
  <c r="J13" i="7" s="1"/>
  <c r="J12" i="7" s="1"/>
  <c r="J11" i="7" s="1"/>
  <c r="J10" i="7" s="1"/>
  <c r="J9" i="7" s="1"/>
  <c r="I35" i="8"/>
  <c r="F34" i="8" s="1"/>
  <c r="I36" i="8"/>
  <c r="F35" i="8" s="1"/>
  <c r="I37" i="8"/>
  <c r="F36" i="8" s="1"/>
  <c r="F37" i="8"/>
  <c r="L11" i="8"/>
  <c r="L10" i="8" s="1"/>
  <c r="L9" i="8" s="1"/>
  <c r="C13" i="8" s="1"/>
  <c r="I32" i="8" s="1"/>
  <c r="I31" i="7"/>
  <c r="I38" i="7"/>
  <c r="K16" i="6"/>
  <c r="K15" i="6" s="1"/>
  <c r="K14" i="6" s="1"/>
  <c r="K13" i="6" s="1"/>
  <c r="J16" i="6"/>
  <c r="J15" i="6"/>
  <c r="J14" i="6"/>
  <c r="J13" i="6"/>
  <c r="J12" i="6"/>
  <c r="J11" i="6"/>
  <c r="J10" i="6"/>
  <c r="J9" i="6"/>
  <c r="J8" i="6"/>
  <c r="I16" i="5"/>
  <c r="J16" i="5" s="1"/>
  <c r="J15" i="5" s="1"/>
  <c r="J14" i="5" s="1"/>
  <c r="J13" i="5" s="1"/>
  <c r="J12" i="5" s="1"/>
  <c r="J11" i="5" s="1"/>
  <c r="J10" i="5" s="1"/>
  <c r="J9" i="5" s="1"/>
  <c r="I15" i="5"/>
  <c r="I14" i="5"/>
  <c r="I13" i="5"/>
  <c r="I12" i="5"/>
  <c r="I11" i="5"/>
  <c r="I10" i="5"/>
  <c r="I9" i="5"/>
  <c r="I8" i="5"/>
  <c r="J16" i="2"/>
  <c r="J15" i="2" s="1"/>
  <c r="I16" i="2"/>
  <c r="I15" i="2"/>
  <c r="I14" i="2"/>
  <c r="I13" i="2"/>
  <c r="I12" i="2"/>
  <c r="I11" i="2"/>
  <c r="I10" i="2"/>
  <c r="I9" i="2"/>
  <c r="I8" i="2"/>
  <c r="J16" i="1"/>
  <c r="J15" i="1" s="1"/>
  <c r="J14" i="1" s="1"/>
  <c r="J13" i="1" s="1"/>
  <c r="I16" i="1"/>
  <c r="I15" i="1"/>
  <c r="I14" i="1"/>
  <c r="I13" i="1"/>
  <c r="I12" i="1"/>
  <c r="I11" i="1"/>
  <c r="I10" i="1"/>
  <c r="I9" i="1"/>
  <c r="I8" i="1"/>
  <c r="I39" i="7"/>
  <c r="J39" i="7" s="1"/>
  <c r="J38" i="7" s="1"/>
  <c r="J37" i="7" s="1"/>
  <c r="J36" i="7" s="1"/>
  <c r="J35" i="7" s="1"/>
  <c r="J34" i="7" s="1"/>
  <c r="J33" i="7" s="1"/>
  <c r="J32" i="7" s="1"/>
  <c r="D13" i="6"/>
  <c r="I39" i="5"/>
  <c r="J39" i="5" s="1"/>
  <c r="J38" i="5" s="1"/>
  <c r="J37" i="5" s="1"/>
  <c r="I38" i="5"/>
  <c r="I37" i="5"/>
  <c r="I36" i="5"/>
  <c r="I35" i="5"/>
  <c r="I34" i="5"/>
  <c r="I33" i="5"/>
  <c r="J14" i="2" l="1"/>
  <c r="J13" i="2" s="1"/>
  <c r="J12" i="2" s="1"/>
  <c r="J11" i="2" s="1"/>
  <c r="J10" i="2" s="1"/>
  <c r="J12" i="1"/>
  <c r="I28" i="8"/>
  <c r="F26" i="8" s="1"/>
  <c r="I24" i="8"/>
  <c r="F22" i="8" s="1"/>
  <c r="J19" i="8"/>
  <c r="G17" i="8" s="1"/>
  <c r="I31" i="8"/>
  <c r="F29" i="8" s="1"/>
  <c r="I27" i="8"/>
  <c r="F25" i="8" s="1"/>
  <c r="I23" i="8"/>
  <c r="F21" i="8" s="1"/>
  <c r="J18" i="8"/>
  <c r="G16" i="8" s="1"/>
  <c r="I21" i="8"/>
  <c r="F19" i="8" s="1"/>
  <c r="I25" i="8"/>
  <c r="F23" i="8" s="1"/>
  <c r="J30" i="8"/>
  <c r="G28" i="8" s="1"/>
  <c r="J26" i="8"/>
  <c r="G24" i="8" s="1"/>
  <c r="J22" i="8"/>
  <c r="G20" i="8" s="1"/>
  <c r="I19" i="8"/>
  <c r="F17" i="8" s="1"/>
  <c r="J29" i="8"/>
  <c r="G27" i="8" s="1"/>
  <c r="J25" i="8"/>
  <c r="G23" i="8" s="1"/>
  <c r="J21" i="8"/>
  <c r="G19" i="8" s="1"/>
  <c r="I18" i="8"/>
  <c r="F16" i="8" s="1"/>
  <c r="I30" i="8"/>
  <c r="F28" i="8" s="1"/>
  <c r="J33" i="8"/>
  <c r="G31" i="8" s="1"/>
  <c r="J28" i="8"/>
  <c r="G26" i="8" s="1"/>
  <c r="J24" i="8"/>
  <c r="G22" i="8" s="1"/>
  <c r="J20" i="8"/>
  <c r="G18" i="8" s="1"/>
  <c r="I26" i="8"/>
  <c r="F24" i="8" s="1"/>
  <c r="I20" i="8"/>
  <c r="F18" i="8" s="1"/>
  <c r="J32" i="8"/>
  <c r="G30" i="8" s="1"/>
  <c r="J27" i="8"/>
  <c r="G25" i="8" s="1"/>
  <c r="J23" i="8"/>
  <c r="G21" i="8" s="1"/>
  <c r="I22" i="8"/>
  <c r="F20" i="8" s="1"/>
  <c r="J31" i="8"/>
  <c r="G29" i="8" s="1"/>
  <c r="I29" i="8"/>
  <c r="F27" i="8" s="1"/>
  <c r="I33" i="8"/>
  <c r="F31" i="8" s="1"/>
  <c r="F30" i="8"/>
  <c r="K12" i="6"/>
  <c r="K11" i="6" s="1"/>
  <c r="K10" i="6" s="1"/>
  <c r="K9" i="6" s="1"/>
  <c r="C13" i="7"/>
  <c r="D13" i="7" s="1"/>
  <c r="J11" i="1"/>
  <c r="J10" i="1" s="1"/>
  <c r="J9" i="1" s="1"/>
  <c r="J9" i="2"/>
  <c r="C13" i="2" s="1"/>
  <c r="D13" i="2" s="1"/>
  <c r="C39" i="7"/>
  <c r="D39" i="7" s="1"/>
  <c r="G40" i="7" s="1"/>
  <c r="J36" i="5"/>
  <c r="J35" i="5" s="1"/>
  <c r="J34" i="5" s="1"/>
  <c r="C38" i="5" s="1"/>
  <c r="D38" i="5" s="1"/>
  <c r="G41" i="5" s="1"/>
  <c r="D40" i="5" s="1"/>
  <c r="G40" i="5" l="1"/>
  <c r="C40" i="5" s="1"/>
  <c r="H17" i="2"/>
  <c r="D15" i="2" s="1"/>
  <c r="G17" i="2"/>
  <c r="C15" i="2" s="1"/>
  <c r="G18" i="2"/>
  <c r="C16" i="2" s="1"/>
  <c r="H18" i="2"/>
  <c r="D16" i="2" s="1"/>
  <c r="H40" i="7"/>
  <c r="D41" i="7" s="1"/>
  <c r="C41" i="7"/>
  <c r="H41" i="7"/>
  <c r="D42" i="7" s="1"/>
  <c r="G41" i="7"/>
  <c r="C42" i="7" s="1"/>
  <c r="C13" i="6"/>
  <c r="C13" i="5"/>
  <c r="D13" i="5" s="1"/>
  <c r="G18" i="5" s="1"/>
  <c r="I34" i="6" l="1"/>
  <c r="G33" i="6" s="1"/>
  <c r="I26" i="6"/>
  <c r="G25" i="6" s="1"/>
  <c r="I18" i="6"/>
  <c r="G17" i="6" s="1"/>
  <c r="H28" i="6"/>
  <c r="F27" i="6" s="1"/>
  <c r="H20" i="6"/>
  <c r="F19" i="6" s="1"/>
  <c r="H24" i="6"/>
  <c r="F23" i="6" s="1"/>
  <c r="I33" i="6"/>
  <c r="G32" i="6" s="1"/>
  <c r="I25" i="6"/>
  <c r="G24" i="6" s="1"/>
  <c r="I17" i="6"/>
  <c r="G16" i="6" s="1"/>
  <c r="H27" i="6"/>
  <c r="F26" i="6" s="1"/>
  <c r="H19" i="6"/>
  <c r="F18" i="6" s="1"/>
  <c r="H32" i="6"/>
  <c r="F31" i="6" s="1"/>
  <c r="H29" i="6"/>
  <c r="F28" i="6" s="1"/>
  <c r="I32" i="6"/>
  <c r="G31" i="6" s="1"/>
  <c r="I24" i="6"/>
  <c r="G23" i="6" s="1"/>
  <c r="H34" i="6"/>
  <c r="F33" i="6" s="1"/>
  <c r="H26" i="6"/>
  <c r="F25" i="6" s="1"/>
  <c r="H18" i="6"/>
  <c r="F17" i="6" s="1"/>
  <c r="I22" i="6"/>
  <c r="G21" i="6" s="1"/>
  <c r="H21" i="6"/>
  <c r="F20" i="6" s="1"/>
  <c r="I31" i="6"/>
  <c r="G30" i="6" s="1"/>
  <c r="I23" i="6"/>
  <c r="G22" i="6" s="1"/>
  <c r="H33" i="6"/>
  <c r="F32" i="6" s="1"/>
  <c r="H25" i="6"/>
  <c r="F24" i="6" s="1"/>
  <c r="H17" i="6"/>
  <c r="F16" i="6" s="1"/>
  <c r="I30" i="6"/>
  <c r="G29" i="6" s="1"/>
  <c r="I29" i="6"/>
  <c r="G28" i="6" s="1"/>
  <c r="I21" i="6"/>
  <c r="G20" i="6" s="1"/>
  <c r="H31" i="6"/>
  <c r="F30" i="6" s="1"/>
  <c r="H23" i="6"/>
  <c r="F22" i="6" s="1"/>
  <c r="I28" i="6"/>
  <c r="G27" i="6" s="1"/>
  <c r="I20" i="6"/>
  <c r="G19" i="6" s="1"/>
  <c r="H30" i="6"/>
  <c r="F29" i="6" s="1"/>
  <c r="H22" i="6"/>
  <c r="F21" i="6" s="1"/>
  <c r="I27" i="6"/>
  <c r="G26" i="6" s="1"/>
  <c r="I19" i="6"/>
  <c r="G18" i="6" s="1"/>
  <c r="D15" i="5"/>
  <c r="G17" i="5"/>
  <c r="C15" i="5" s="1"/>
  <c r="C13" i="1"/>
  <c r="D13" i="1" s="1"/>
  <c r="G18" i="1" l="1"/>
  <c r="C16" i="1" s="1"/>
  <c r="H17" i="1"/>
  <c r="D15" i="1" s="1"/>
  <c r="H18" i="1"/>
  <c r="D16" i="1" s="1"/>
  <c r="G17" i="1"/>
  <c r="C15" i="1" s="1"/>
  <c r="G17" i="7"/>
  <c r="C15" i="7" s="1"/>
  <c r="H18" i="7"/>
  <c r="D16" i="7" s="1"/>
  <c r="G18" i="7"/>
  <c r="C16" i="7" s="1"/>
  <c r="H17" i="7"/>
  <c r="D15" i="7" s="1"/>
</calcChain>
</file>

<file path=xl/sharedStrings.xml><?xml version="1.0" encoding="utf-8"?>
<sst xmlns="http://schemas.openxmlformats.org/spreadsheetml/2006/main" count="510" uniqueCount="225">
  <si>
    <t>+</t>
  </si>
  <si>
    <t>580 - 1250</t>
  </si>
  <si>
    <t>960 - 2040</t>
  </si>
  <si>
    <t>1800 - 3500</t>
  </si>
  <si>
    <t>Х</t>
  </si>
  <si>
    <r>
      <t>ТOP STAY  (SQ00A</t>
    </r>
    <r>
      <rPr>
        <b/>
        <sz val="11"/>
        <color theme="2" tint="-0.749992370372631"/>
        <rFont val="Calibri"/>
        <family val="2"/>
        <charset val="204"/>
        <scheme val="minor"/>
      </rPr>
      <t>L</t>
    </r>
    <r>
      <rPr>
        <sz val="11"/>
        <color theme="2" tint="-0.749992370372631"/>
        <rFont val="Calibri"/>
        <family val="2"/>
        <charset val="204"/>
        <scheme val="minor"/>
      </rPr>
      <t>)    light</t>
    </r>
  </si>
  <si>
    <r>
      <t>ТOP STAY  (SQ00A</t>
    </r>
    <r>
      <rPr>
        <b/>
        <sz val="11"/>
        <color theme="2" tint="-0.749992370372631"/>
        <rFont val="Calibri"/>
        <family val="2"/>
        <charset val="204"/>
        <scheme val="minor"/>
      </rPr>
      <t>M</t>
    </r>
    <r>
      <rPr>
        <sz val="11"/>
        <color theme="2" tint="-0.749992370372631"/>
        <rFont val="Calibri"/>
        <family val="2"/>
        <charset val="204"/>
        <scheme val="minor"/>
      </rPr>
      <t>)  medium</t>
    </r>
  </si>
  <si>
    <r>
      <t>ТOP STAY  (SQ00A</t>
    </r>
    <r>
      <rPr>
        <b/>
        <sz val="11"/>
        <color theme="2" tint="-0.749992370372631"/>
        <rFont val="Calibri"/>
        <family val="2"/>
        <charset val="204"/>
        <scheme val="minor"/>
      </rPr>
      <t>H</t>
    </r>
    <r>
      <rPr>
        <sz val="11"/>
        <color theme="2" tint="-0.749992370372631"/>
        <rFont val="Calibri"/>
        <family val="2"/>
        <charset val="204"/>
        <scheme val="minor"/>
      </rPr>
      <t>)   strong</t>
    </r>
  </si>
  <si>
    <r>
      <t>ТOP STAY  (SF00A</t>
    </r>
    <r>
      <rPr>
        <b/>
        <sz val="11"/>
        <color theme="2" tint="-0.749992370372631"/>
        <rFont val="Calibri"/>
        <family val="2"/>
        <charset val="204"/>
        <scheme val="minor"/>
      </rPr>
      <t>L</t>
    </r>
    <r>
      <rPr>
        <sz val="11"/>
        <color theme="2" tint="-0.749992370372631"/>
        <rFont val="Calibri"/>
        <family val="2"/>
        <charset val="204"/>
        <scheme val="minor"/>
      </rPr>
      <t>)    light</t>
    </r>
  </si>
  <si>
    <r>
      <t>ТOP STAY  (SF00A</t>
    </r>
    <r>
      <rPr>
        <b/>
        <sz val="11"/>
        <color theme="2" tint="-0.749992370372631"/>
        <rFont val="Calibri"/>
        <family val="2"/>
        <charset val="204"/>
        <scheme val="minor"/>
      </rPr>
      <t>M</t>
    </r>
    <r>
      <rPr>
        <sz val="11"/>
        <color theme="2" tint="-0.749992370372631"/>
        <rFont val="Calibri"/>
        <family val="2"/>
        <charset val="204"/>
        <scheme val="minor"/>
      </rPr>
      <t>)  medium</t>
    </r>
  </si>
  <si>
    <r>
      <t>ТOP STAY  (SF00A</t>
    </r>
    <r>
      <rPr>
        <b/>
        <sz val="11"/>
        <color theme="2" tint="-0.749992370372631"/>
        <rFont val="Calibri"/>
        <family val="2"/>
        <charset val="204"/>
        <scheme val="minor"/>
      </rPr>
      <t>H</t>
    </r>
    <r>
      <rPr>
        <sz val="11"/>
        <color theme="2" tint="-0.749992370372631"/>
        <rFont val="Calibri"/>
        <family val="2"/>
        <charset val="204"/>
        <scheme val="minor"/>
      </rPr>
      <t>)   strong</t>
    </r>
  </si>
  <si>
    <r>
      <t>ТOP STAY  (SF00A</t>
    </r>
    <r>
      <rPr>
        <b/>
        <sz val="11"/>
        <color theme="2" tint="-0.749992370372631"/>
        <rFont val="Calibri"/>
        <family val="2"/>
        <charset val="204"/>
        <scheme val="minor"/>
      </rPr>
      <t>D</t>
    </r>
    <r>
      <rPr>
        <sz val="11"/>
        <color theme="2" tint="-0.749992370372631"/>
        <rFont val="Calibri"/>
        <family val="2"/>
        <charset val="204"/>
        <scheme val="minor"/>
      </rPr>
      <t>)   extra light</t>
    </r>
  </si>
  <si>
    <t>480 - 1500</t>
  </si>
  <si>
    <t>750 - 2500</t>
  </si>
  <si>
    <t>1500 - 4900</t>
  </si>
  <si>
    <t>3200 - 9000</t>
  </si>
  <si>
    <r>
      <t>ТOP STAY  (SE00A</t>
    </r>
    <r>
      <rPr>
        <b/>
        <sz val="11"/>
        <color theme="2" tint="-0.749992370372631"/>
        <rFont val="Calibri"/>
        <family val="2"/>
        <charset val="204"/>
        <scheme val="minor"/>
      </rPr>
      <t>L</t>
    </r>
    <r>
      <rPr>
        <sz val="11"/>
        <color theme="2" tint="-0.749992370372631"/>
        <rFont val="Calibri"/>
        <family val="2"/>
        <charset val="204"/>
        <scheme val="minor"/>
      </rPr>
      <t>)    light</t>
    </r>
  </si>
  <si>
    <r>
      <t>ТOP STAY  (SE00A</t>
    </r>
    <r>
      <rPr>
        <b/>
        <sz val="11"/>
        <color theme="2" tint="-0.749992370372631"/>
        <rFont val="Calibri"/>
        <family val="2"/>
        <charset val="204"/>
        <scheme val="minor"/>
      </rPr>
      <t>M</t>
    </r>
    <r>
      <rPr>
        <sz val="11"/>
        <color theme="2" tint="-0.749992370372631"/>
        <rFont val="Calibri"/>
        <family val="2"/>
        <charset val="204"/>
        <scheme val="minor"/>
      </rPr>
      <t>)  medium</t>
    </r>
  </si>
  <si>
    <r>
      <t>ТOP STAY  (SE00A</t>
    </r>
    <r>
      <rPr>
        <b/>
        <sz val="11"/>
        <color theme="2" tint="-0.749992370372631"/>
        <rFont val="Calibri"/>
        <family val="2"/>
        <charset val="204"/>
        <scheme val="minor"/>
      </rPr>
      <t>H</t>
    </r>
    <r>
      <rPr>
        <sz val="11"/>
        <color theme="2" tint="-0.749992370372631"/>
        <rFont val="Calibri"/>
        <family val="2"/>
        <charset val="204"/>
        <scheme val="minor"/>
      </rPr>
      <t>)   strong</t>
    </r>
  </si>
  <si>
    <t>500 - 1500</t>
  </si>
  <si>
    <t>200 - 1000</t>
  </si>
  <si>
    <t>960 - 2350</t>
  </si>
  <si>
    <t>480 - 529</t>
  </si>
  <si>
    <t>4,5 - 8,9</t>
  </si>
  <si>
    <t>8,7 - 14,4</t>
  </si>
  <si>
    <t>530 - 589</t>
  </si>
  <si>
    <r>
      <t>ТOP STAY  (ST</t>
    </r>
    <r>
      <rPr>
        <b/>
        <sz val="11"/>
        <color theme="2" tint="-0.749992370372631"/>
        <rFont val="Calibri"/>
        <family val="2"/>
        <charset val="204"/>
        <scheme val="minor"/>
      </rPr>
      <t>01AL</t>
    </r>
    <r>
      <rPr>
        <sz val="11"/>
        <color theme="2" tint="-0.749992370372631"/>
        <rFont val="Calibri"/>
        <family val="2"/>
        <charset val="204"/>
        <scheme val="minor"/>
      </rPr>
      <t>)    light</t>
    </r>
  </si>
  <si>
    <r>
      <t>ТOP STAY  (ST</t>
    </r>
    <r>
      <rPr>
        <b/>
        <sz val="11"/>
        <color theme="2" tint="-0.749992370372631"/>
        <rFont val="Calibri"/>
        <family val="2"/>
        <charset val="204"/>
        <scheme val="minor"/>
      </rPr>
      <t>01AM</t>
    </r>
    <r>
      <rPr>
        <sz val="11"/>
        <color theme="2" tint="-0.749992370372631"/>
        <rFont val="Calibri"/>
        <family val="2"/>
        <charset val="204"/>
        <scheme val="minor"/>
      </rPr>
      <t>)  medium</t>
    </r>
  </si>
  <si>
    <r>
      <t>ТOP STAY  (ST</t>
    </r>
    <r>
      <rPr>
        <b/>
        <sz val="11"/>
        <color theme="2" tint="-0.749992370372631"/>
        <rFont val="Calibri"/>
        <family val="2"/>
        <charset val="204"/>
        <scheme val="minor"/>
      </rPr>
      <t>02AL</t>
    </r>
    <r>
      <rPr>
        <sz val="11"/>
        <color theme="2" tint="-0.749992370372631"/>
        <rFont val="Calibri"/>
        <family val="2"/>
        <charset val="204"/>
        <scheme val="minor"/>
      </rPr>
      <t>)    light</t>
    </r>
  </si>
  <si>
    <r>
      <t>ТOP STAY  (ST</t>
    </r>
    <r>
      <rPr>
        <b/>
        <sz val="11"/>
        <color theme="2" tint="-0.749992370372631"/>
        <rFont val="Calibri"/>
        <family val="2"/>
        <charset val="204"/>
        <scheme val="minor"/>
      </rPr>
      <t>02AM</t>
    </r>
    <r>
      <rPr>
        <sz val="11"/>
        <color theme="2" tint="-0.749992370372631"/>
        <rFont val="Calibri"/>
        <family val="2"/>
        <charset val="204"/>
        <scheme val="minor"/>
      </rPr>
      <t>)  medium</t>
    </r>
  </si>
  <si>
    <r>
      <t>ТOP STAY  (ST</t>
    </r>
    <r>
      <rPr>
        <b/>
        <sz val="11"/>
        <color theme="2" tint="-0.749992370372631"/>
        <rFont val="Calibri"/>
        <family val="2"/>
        <charset val="204"/>
        <scheme val="minor"/>
      </rPr>
      <t>03AL</t>
    </r>
    <r>
      <rPr>
        <sz val="11"/>
        <color theme="2" tint="-0.749992370372631"/>
        <rFont val="Calibri"/>
        <family val="2"/>
        <charset val="204"/>
        <scheme val="minor"/>
      </rPr>
      <t>)    light</t>
    </r>
  </si>
  <si>
    <r>
      <t>ТOP STAY  (ST</t>
    </r>
    <r>
      <rPr>
        <b/>
        <sz val="11"/>
        <color theme="2" tint="-0.749992370372631"/>
        <rFont val="Calibri"/>
        <family val="2"/>
        <charset val="204"/>
        <scheme val="minor"/>
      </rPr>
      <t>03AM</t>
    </r>
    <r>
      <rPr>
        <sz val="11"/>
        <color theme="2" tint="-0.749992370372631"/>
        <rFont val="Calibri"/>
        <family val="2"/>
        <charset val="204"/>
        <scheme val="minor"/>
      </rPr>
      <t>)  medium</t>
    </r>
  </si>
  <si>
    <t>590 - 649</t>
  </si>
  <si>
    <t>4,1 - 8,1</t>
  </si>
  <si>
    <t>9,6 - 16,0</t>
  </si>
  <si>
    <t>7,8 - 13,0</t>
  </si>
  <si>
    <r>
      <t>ТOP STAY  (ST</t>
    </r>
    <r>
      <rPr>
        <b/>
        <sz val="11"/>
        <color theme="2" tint="-0.749992370372631"/>
        <rFont val="Calibri"/>
        <family val="2"/>
        <charset val="204"/>
        <scheme val="minor"/>
      </rPr>
      <t>04AL</t>
    </r>
    <r>
      <rPr>
        <sz val="11"/>
        <color theme="2" tint="-0.749992370372631"/>
        <rFont val="Calibri"/>
        <family val="2"/>
        <charset val="204"/>
        <scheme val="minor"/>
      </rPr>
      <t>)    light</t>
    </r>
  </si>
  <si>
    <r>
      <t>ТOP STAY  (ST</t>
    </r>
    <r>
      <rPr>
        <b/>
        <sz val="11"/>
        <color theme="2" tint="-0.749992370372631"/>
        <rFont val="Calibri"/>
        <family val="2"/>
        <charset val="204"/>
        <scheme val="minor"/>
      </rPr>
      <t>04AM</t>
    </r>
    <r>
      <rPr>
        <sz val="11"/>
        <color theme="2" tint="-0.749992370372631"/>
        <rFont val="Calibri"/>
        <family val="2"/>
        <charset val="204"/>
        <scheme val="minor"/>
      </rPr>
      <t>)  medium</t>
    </r>
  </si>
  <si>
    <r>
      <t>ТOP STAY  (ST</t>
    </r>
    <r>
      <rPr>
        <b/>
        <sz val="11"/>
        <color theme="2" tint="-0.749992370372631"/>
        <rFont val="Calibri"/>
        <family val="2"/>
        <charset val="204"/>
        <scheme val="minor"/>
      </rPr>
      <t>04AH)</t>
    </r>
    <r>
      <rPr>
        <sz val="11"/>
        <color theme="2" tint="-0.749992370372631"/>
        <rFont val="Calibri"/>
        <family val="2"/>
        <charset val="204"/>
        <scheme val="minor"/>
      </rPr>
      <t xml:space="preserve">   strong</t>
    </r>
  </si>
  <si>
    <t>3,7 - 7,2</t>
  </si>
  <si>
    <t>7,0 - 11,6</t>
  </si>
  <si>
    <t>11,5 - 19,8</t>
  </si>
  <si>
    <r>
      <t>ТOP STAY  (ST</t>
    </r>
    <r>
      <rPr>
        <b/>
        <sz val="11"/>
        <color theme="2" tint="-0.749992370372631"/>
        <rFont val="Calibri"/>
        <family val="2"/>
        <charset val="204"/>
        <scheme val="minor"/>
      </rPr>
      <t>05AL</t>
    </r>
    <r>
      <rPr>
        <sz val="11"/>
        <color theme="2" tint="-0.749992370372631"/>
        <rFont val="Calibri"/>
        <family val="2"/>
        <charset val="204"/>
        <scheme val="minor"/>
      </rPr>
      <t>)    light</t>
    </r>
  </si>
  <si>
    <r>
      <t>ТOP STAY  (ST</t>
    </r>
    <r>
      <rPr>
        <b/>
        <sz val="11"/>
        <color theme="2" tint="-0.749992370372631"/>
        <rFont val="Calibri"/>
        <family val="2"/>
        <charset val="204"/>
        <scheme val="minor"/>
      </rPr>
      <t>05AM</t>
    </r>
    <r>
      <rPr>
        <sz val="11"/>
        <color theme="2" tint="-0.749992370372631"/>
        <rFont val="Calibri"/>
        <family val="2"/>
        <charset val="204"/>
        <scheme val="minor"/>
      </rPr>
      <t>)  medium</t>
    </r>
  </si>
  <si>
    <r>
      <t>ТOP STAY  (ST</t>
    </r>
    <r>
      <rPr>
        <b/>
        <sz val="11"/>
        <color theme="2" tint="-0.749992370372631"/>
        <rFont val="Calibri"/>
        <family val="2"/>
        <charset val="204"/>
        <scheme val="minor"/>
      </rPr>
      <t>05AH)</t>
    </r>
    <r>
      <rPr>
        <sz val="11"/>
        <color theme="2" tint="-0.749992370372631"/>
        <rFont val="Calibri"/>
        <family val="2"/>
        <charset val="204"/>
        <scheme val="minor"/>
      </rPr>
      <t xml:space="preserve">   strong</t>
    </r>
  </si>
  <si>
    <t>3,2 - 6,5</t>
  </si>
  <si>
    <t>6,3 - 10,6</t>
  </si>
  <si>
    <t>10,5 - 18,1</t>
  </si>
  <si>
    <r>
      <t>ТOP STAY  (ST</t>
    </r>
    <r>
      <rPr>
        <b/>
        <sz val="11"/>
        <color theme="2" tint="-0.749992370372631"/>
        <rFont val="Calibri"/>
        <family val="2"/>
        <charset val="204"/>
        <scheme val="minor"/>
      </rPr>
      <t>06AM</t>
    </r>
    <r>
      <rPr>
        <sz val="11"/>
        <color theme="2" tint="-0.749992370372631"/>
        <rFont val="Calibri"/>
        <family val="2"/>
        <charset val="204"/>
        <scheme val="minor"/>
      </rPr>
      <t>)  medium</t>
    </r>
  </si>
  <si>
    <r>
      <t>ТOP STAY  (ST</t>
    </r>
    <r>
      <rPr>
        <b/>
        <sz val="11"/>
        <color theme="2" tint="-0.749992370372631"/>
        <rFont val="Calibri"/>
        <family val="2"/>
        <charset val="204"/>
        <scheme val="minor"/>
      </rPr>
      <t>06AH)</t>
    </r>
    <r>
      <rPr>
        <sz val="11"/>
        <color theme="2" tint="-0.749992370372631"/>
        <rFont val="Calibri"/>
        <family val="2"/>
        <charset val="204"/>
        <scheme val="minor"/>
      </rPr>
      <t xml:space="preserve">   strong</t>
    </r>
  </si>
  <si>
    <t>9,5 - 16,5</t>
  </si>
  <si>
    <t>650 - 729</t>
  </si>
  <si>
    <t>730 - 799</t>
  </si>
  <si>
    <t>800 - 879</t>
  </si>
  <si>
    <r>
      <t>ТOP STAY  (ST</t>
    </r>
    <r>
      <rPr>
        <b/>
        <sz val="11"/>
        <color theme="2" tint="-0.749992370372631"/>
        <rFont val="Calibri"/>
        <family val="2"/>
        <charset val="204"/>
        <scheme val="minor"/>
      </rPr>
      <t>07AM</t>
    </r>
    <r>
      <rPr>
        <sz val="11"/>
        <color theme="2" tint="-0.749992370372631"/>
        <rFont val="Calibri"/>
        <family val="2"/>
        <charset val="204"/>
        <scheme val="minor"/>
      </rPr>
      <t>)  medium</t>
    </r>
  </si>
  <si>
    <r>
      <t>ТOP STAY  (ST</t>
    </r>
    <r>
      <rPr>
        <b/>
        <sz val="11"/>
        <color theme="2" tint="-0.749992370372631"/>
        <rFont val="Calibri"/>
        <family val="2"/>
        <charset val="204"/>
        <scheme val="minor"/>
      </rPr>
      <t>07AH)</t>
    </r>
    <r>
      <rPr>
        <sz val="11"/>
        <color theme="2" tint="-0.749992370372631"/>
        <rFont val="Calibri"/>
        <family val="2"/>
        <charset val="204"/>
        <scheme val="minor"/>
      </rPr>
      <t xml:space="preserve">   strong</t>
    </r>
  </si>
  <si>
    <t>5,2 - 8,8</t>
  </si>
  <si>
    <t>8,7 - 15,1</t>
  </si>
  <si>
    <t>880 - 959</t>
  </si>
  <si>
    <r>
      <t>ТOP STAY  (ST</t>
    </r>
    <r>
      <rPr>
        <b/>
        <sz val="11"/>
        <color theme="2" tint="-0.749992370372631"/>
        <rFont val="Calibri"/>
        <family val="2"/>
        <charset val="204"/>
        <scheme val="minor"/>
      </rPr>
      <t>08AH)</t>
    </r>
    <r>
      <rPr>
        <sz val="11"/>
        <color theme="2" tint="-0.749992370372631"/>
        <rFont val="Calibri"/>
        <family val="2"/>
        <charset val="204"/>
        <scheme val="minor"/>
      </rPr>
      <t xml:space="preserve">   strong</t>
    </r>
  </si>
  <si>
    <t>8,0 - 13,9</t>
  </si>
  <si>
    <t>960 - 1040</t>
  </si>
  <si>
    <t>5,0 - 10,0</t>
  </si>
  <si>
    <t>5,8 - 9,6</t>
  </si>
  <si>
    <r>
      <t>ТOP STAY  (ST</t>
    </r>
    <r>
      <rPr>
        <b/>
        <sz val="11"/>
        <color theme="2" tint="-0.749992370372631"/>
        <rFont val="Calibri"/>
        <family val="2"/>
        <charset val="204"/>
        <scheme val="minor"/>
      </rPr>
      <t>08AM)</t>
    </r>
    <r>
      <rPr>
        <sz val="11"/>
        <color theme="2" tint="-0.749992370372631"/>
        <rFont val="Calibri"/>
        <family val="2"/>
        <charset val="204"/>
        <scheme val="minor"/>
      </rPr>
      <t xml:space="preserve">   strong</t>
    </r>
  </si>
  <si>
    <t>4,8 - 8,1</t>
  </si>
  <si>
    <t>500 - 1400</t>
  </si>
  <si>
    <t>960 - 2050</t>
  </si>
  <si>
    <r>
      <t>ТOP STAY  (SE2FA</t>
    </r>
    <r>
      <rPr>
        <b/>
        <sz val="11"/>
        <color theme="2" tint="-0.749992370372631"/>
        <rFont val="Calibri"/>
        <family val="2"/>
        <charset val="204"/>
        <scheme val="minor"/>
      </rPr>
      <t>L</t>
    </r>
    <r>
      <rPr>
        <sz val="11"/>
        <color theme="2" tint="-0.749992370372631"/>
        <rFont val="Calibri"/>
        <family val="2"/>
        <charset val="204"/>
        <scheme val="minor"/>
      </rPr>
      <t>)    light</t>
    </r>
  </si>
  <si>
    <r>
      <t>ТOP STAY  (SE2FA</t>
    </r>
    <r>
      <rPr>
        <b/>
        <sz val="11"/>
        <color theme="2" tint="-0.749992370372631"/>
        <rFont val="Calibri"/>
        <family val="2"/>
        <charset val="204"/>
        <scheme val="minor"/>
      </rPr>
      <t>M</t>
    </r>
    <r>
      <rPr>
        <sz val="11"/>
        <color theme="2" tint="-0.749992370372631"/>
        <rFont val="Calibri"/>
        <family val="2"/>
        <charset val="204"/>
        <scheme val="minor"/>
      </rPr>
      <t>)  medium</t>
    </r>
  </si>
  <si>
    <r>
      <t>ТOP STAY  (SE2FA</t>
    </r>
    <r>
      <rPr>
        <b/>
        <sz val="11"/>
        <color theme="2" tint="-0.749992370372631"/>
        <rFont val="Calibri"/>
        <family val="2"/>
        <charset val="204"/>
        <scheme val="minor"/>
      </rPr>
      <t>H</t>
    </r>
    <r>
      <rPr>
        <sz val="11"/>
        <color theme="2" tint="-0.749992370372631"/>
        <rFont val="Calibri"/>
        <family val="2"/>
        <charset val="204"/>
        <scheme val="minor"/>
      </rPr>
      <t>)   strong</t>
    </r>
  </si>
  <si>
    <r>
      <t>ТOP STAY  (SQ02B</t>
    </r>
    <r>
      <rPr>
        <b/>
        <sz val="11"/>
        <color theme="2" tint="-0.749992370372631"/>
        <rFont val="Calibri"/>
        <family val="2"/>
        <charset val="204"/>
        <scheme val="minor"/>
      </rPr>
      <t>L</t>
    </r>
    <r>
      <rPr>
        <sz val="11"/>
        <color theme="2" tint="-0.749992370372631"/>
        <rFont val="Calibri"/>
        <family val="2"/>
        <charset val="204"/>
        <scheme val="minor"/>
      </rPr>
      <t>)    light</t>
    </r>
  </si>
  <si>
    <r>
      <t>ТOP STAY  (SQ02B</t>
    </r>
    <r>
      <rPr>
        <b/>
        <sz val="11"/>
        <color theme="2" tint="-0.749992370372631"/>
        <rFont val="Calibri"/>
        <family val="2"/>
        <charset val="204"/>
        <scheme val="minor"/>
      </rPr>
      <t>M</t>
    </r>
    <r>
      <rPr>
        <sz val="11"/>
        <color theme="2" tint="-0.749992370372631"/>
        <rFont val="Calibri"/>
        <family val="2"/>
        <charset val="204"/>
        <scheme val="minor"/>
      </rPr>
      <t>)  medium</t>
    </r>
  </si>
  <si>
    <r>
      <t>ТOP STAY  (SQ02B</t>
    </r>
    <r>
      <rPr>
        <b/>
        <sz val="11"/>
        <color theme="2" tint="-0.749992370372631"/>
        <rFont val="Calibri"/>
        <family val="2"/>
        <charset val="204"/>
        <scheme val="minor"/>
      </rPr>
      <t>H</t>
    </r>
    <r>
      <rPr>
        <sz val="11"/>
        <color theme="2" tint="-0.749992370372631"/>
        <rFont val="Calibri"/>
        <family val="2"/>
        <charset val="204"/>
        <scheme val="minor"/>
      </rPr>
      <t>)   strong</t>
    </r>
  </si>
  <si>
    <r>
      <t>ТOP STAY  (SQ02B</t>
    </r>
    <r>
      <rPr>
        <b/>
        <sz val="11"/>
        <color theme="2" tint="-0.749992370372631"/>
        <rFont val="Calibri"/>
        <family val="2"/>
        <charset val="204"/>
        <scheme val="minor"/>
      </rPr>
      <t>C</t>
    </r>
    <r>
      <rPr>
        <sz val="11"/>
        <color theme="2" tint="-0.749992370372631"/>
        <rFont val="Calibri"/>
        <family val="2"/>
        <charset val="204"/>
        <scheme val="minor"/>
      </rPr>
      <t>)   extra strong</t>
    </r>
  </si>
  <si>
    <r>
      <rPr>
        <b/>
        <sz val="11"/>
        <color theme="2" tint="-0.749992370372631"/>
        <rFont val="Calibri"/>
        <family val="2"/>
        <charset val="204"/>
        <scheme val="minor"/>
      </rPr>
      <t>480 - 1250</t>
    </r>
    <r>
      <rPr>
        <sz val="11"/>
        <color theme="2" tint="-0.749992370372631"/>
        <rFont val="Calibri"/>
        <family val="2"/>
        <charset val="204"/>
        <scheme val="minor"/>
      </rPr>
      <t>, h=250-</t>
    </r>
    <r>
      <rPr>
        <sz val="11"/>
        <color theme="2" tint="-0.749992370372631"/>
        <rFont val="Calibri"/>
        <family val="2"/>
        <charset val="204"/>
      </rPr>
      <t>400 мм</t>
    </r>
  </si>
  <si>
    <r>
      <rPr>
        <b/>
        <sz val="11"/>
        <color theme="2" tint="-0.749992370372631"/>
        <rFont val="Calibri"/>
        <family val="2"/>
        <charset val="204"/>
        <scheme val="minor"/>
      </rPr>
      <t>960 - 2350</t>
    </r>
    <r>
      <rPr>
        <sz val="11"/>
        <color theme="2" tint="-0.749992370372631"/>
        <rFont val="Calibri"/>
        <family val="2"/>
        <charset val="204"/>
        <scheme val="minor"/>
      </rPr>
      <t>, h=250-</t>
    </r>
    <r>
      <rPr>
        <sz val="11"/>
        <color theme="2" tint="-0.749992370372631"/>
        <rFont val="Calibri"/>
        <family val="2"/>
        <charset val="204"/>
      </rPr>
      <t>500 мм</t>
    </r>
  </si>
  <si>
    <r>
      <rPr>
        <b/>
        <sz val="11"/>
        <color theme="2" tint="-0.749992370372631"/>
        <rFont val="Calibri"/>
        <family val="2"/>
        <charset val="204"/>
        <scheme val="minor"/>
      </rPr>
      <t>1600 - 3600</t>
    </r>
    <r>
      <rPr>
        <sz val="11"/>
        <color theme="2" tint="-0.749992370372631"/>
        <rFont val="Calibri"/>
        <family val="2"/>
        <charset val="204"/>
        <scheme val="minor"/>
      </rPr>
      <t>, h=250-</t>
    </r>
    <r>
      <rPr>
        <sz val="11"/>
        <color theme="2" tint="-0.749992370372631"/>
        <rFont val="Calibri"/>
        <family val="2"/>
        <charset val="204"/>
      </rPr>
      <t>500 мм</t>
    </r>
  </si>
  <si>
    <r>
      <rPr>
        <b/>
        <sz val="11"/>
        <color theme="2" tint="-0.749992370372631"/>
        <rFont val="Calibri"/>
        <family val="2"/>
        <charset val="204"/>
        <scheme val="minor"/>
      </rPr>
      <t>2500 - 4500</t>
    </r>
    <r>
      <rPr>
        <sz val="11"/>
        <color theme="2" tint="-0.749992370372631"/>
        <rFont val="Calibri"/>
        <family val="2"/>
        <charset val="204"/>
        <scheme val="minor"/>
      </rPr>
      <t>, h=250-6</t>
    </r>
    <r>
      <rPr>
        <sz val="11"/>
        <color theme="2" tint="-0.749992370372631"/>
        <rFont val="Calibri"/>
        <family val="2"/>
        <charset val="204"/>
      </rPr>
      <t>00 мм</t>
    </r>
  </si>
  <si>
    <r>
      <rPr>
        <b/>
        <sz val="26"/>
        <color theme="2" tint="-0.499984740745262"/>
        <rFont val="Segoe UI"/>
        <family val="2"/>
        <charset val="204"/>
      </rPr>
      <t>TOP STAY</t>
    </r>
    <r>
      <rPr>
        <b/>
        <sz val="26"/>
        <color theme="2" tint="-0.749992370372631"/>
        <rFont val="Segoe UI"/>
        <family val="2"/>
        <charset val="204"/>
      </rPr>
      <t xml:space="preserve"> </t>
    </r>
    <r>
      <rPr>
        <b/>
        <sz val="26"/>
        <color rgb="FFC00000"/>
        <rFont val="Segoe UI"/>
        <family val="2"/>
        <charset val="204"/>
      </rPr>
      <t>SQ</t>
    </r>
    <r>
      <rPr>
        <b/>
        <sz val="36"/>
        <color theme="2" tint="-0.749992370372631"/>
        <rFont val="Segoe UI"/>
        <family val="2"/>
        <charset val="204"/>
      </rPr>
      <t xml:space="preserve"> </t>
    </r>
  </si>
  <si>
    <r>
      <rPr>
        <b/>
        <sz val="26"/>
        <color theme="2" tint="-0.499984740745262"/>
        <rFont val="Segoe UI"/>
        <family val="2"/>
        <charset val="204"/>
      </rPr>
      <t>TOP STAY</t>
    </r>
    <r>
      <rPr>
        <b/>
        <sz val="26"/>
        <color theme="2" tint="-0.749992370372631"/>
        <rFont val="Segoe UI"/>
        <family val="2"/>
        <charset val="204"/>
      </rPr>
      <t xml:space="preserve"> </t>
    </r>
    <r>
      <rPr>
        <b/>
        <sz val="26"/>
        <color rgb="FFC00000"/>
        <rFont val="Segoe UI"/>
        <family val="2"/>
        <charset val="204"/>
      </rPr>
      <t>SF</t>
    </r>
    <r>
      <rPr>
        <b/>
        <sz val="36"/>
        <color theme="2" tint="-0.749992370372631"/>
        <rFont val="Segoe UI"/>
        <family val="2"/>
        <charset val="204"/>
      </rPr>
      <t xml:space="preserve"> </t>
    </r>
  </si>
  <si>
    <r>
      <rPr>
        <b/>
        <sz val="26"/>
        <color theme="2" tint="-0.499984740745262"/>
        <rFont val="Segoe UI"/>
        <family val="2"/>
        <charset val="204"/>
      </rPr>
      <t>TOP STAY</t>
    </r>
    <r>
      <rPr>
        <b/>
        <sz val="26"/>
        <color theme="2" tint="-0.749992370372631"/>
        <rFont val="Segoe UI"/>
        <family val="2"/>
        <charset val="204"/>
      </rPr>
      <t xml:space="preserve"> </t>
    </r>
    <r>
      <rPr>
        <b/>
        <sz val="26"/>
        <color rgb="FFC00000"/>
        <rFont val="Segoe UI"/>
        <family val="2"/>
        <charset val="204"/>
      </rPr>
      <t>SE</t>
    </r>
    <r>
      <rPr>
        <b/>
        <sz val="36"/>
        <color theme="2" tint="-0.749992370372631"/>
        <rFont val="Segoe UI"/>
        <family val="2"/>
        <charset val="204"/>
      </rPr>
      <t xml:space="preserve"> </t>
    </r>
  </si>
  <si>
    <r>
      <t>ТOP STAY  (SQ2FB</t>
    </r>
    <r>
      <rPr>
        <b/>
        <sz val="11"/>
        <color theme="2" tint="-0.749992370372631"/>
        <rFont val="Calibri"/>
        <family val="2"/>
        <charset val="204"/>
        <scheme val="minor"/>
      </rPr>
      <t>L</t>
    </r>
    <r>
      <rPr>
        <sz val="11"/>
        <color theme="2" tint="-0.749992370372631"/>
        <rFont val="Calibri"/>
        <family val="2"/>
        <charset val="204"/>
        <scheme val="minor"/>
      </rPr>
      <t>)    light</t>
    </r>
  </si>
  <si>
    <r>
      <t>ТOP STAY  (SQ2FB</t>
    </r>
    <r>
      <rPr>
        <b/>
        <sz val="11"/>
        <color theme="2" tint="-0.749992370372631"/>
        <rFont val="Calibri"/>
        <family val="2"/>
        <charset val="204"/>
        <scheme val="minor"/>
      </rPr>
      <t>M</t>
    </r>
    <r>
      <rPr>
        <sz val="11"/>
        <color theme="2" tint="-0.749992370372631"/>
        <rFont val="Calibri"/>
        <family val="2"/>
        <charset val="204"/>
        <scheme val="minor"/>
      </rPr>
      <t>)  medium</t>
    </r>
  </si>
  <si>
    <r>
      <t>ТOP STAY  (SQ2FB</t>
    </r>
    <r>
      <rPr>
        <b/>
        <sz val="11"/>
        <color theme="2" tint="-0.749992370372631"/>
        <rFont val="Calibri"/>
        <family val="2"/>
        <charset val="204"/>
        <scheme val="minor"/>
      </rPr>
      <t>H</t>
    </r>
    <r>
      <rPr>
        <sz val="11"/>
        <color theme="2" tint="-0.749992370372631"/>
        <rFont val="Calibri"/>
        <family val="2"/>
        <charset val="204"/>
        <scheme val="minor"/>
      </rPr>
      <t>)   strong</t>
    </r>
  </si>
  <si>
    <r>
      <t>ТOP STAY  (SQ2FB</t>
    </r>
    <r>
      <rPr>
        <b/>
        <sz val="11"/>
        <color theme="2" tint="-0.749992370372631"/>
        <rFont val="Calibri"/>
        <family val="2"/>
        <charset val="204"/>
        <scheme val="minor"/>
      </rPr>
      <t>C</t>
    </r>
    <r>
      <rPr>
        <sz val="11"/>
        <color theme="2" tint="-0.749992370372631"/>
        <rFont val="Calibri"/>
        <family val="2"/>
        <charset val="204"/>
        <scheme val="minor"/>
      </rPr>
      <t>)   extra strong</t>
    </r>
  </si>
  <si>
    <r>
      <rPr>
        <b/>
        <sz val="11"/>
        <color theme="2" tint="-0.749992370372631"/>
        <rFont val="Calibri"/>
        <family val="2"/>
        <charset val="204"/>
        <scheme val="minor"/>
      </rPr>
      <t>1060 - 2450</t>
    </r>
    <r>
      <rPr>
        <sz val="11"/>
        <color theme="2" tint="-0.749992370372631"/>
        <rFont val="Calibri"/>
        <family val="2"/>
        <charset val="204"/>
        <scheme val="minor"/>
      </rPr>
      <t>, h=250-</t>
    </r>
    <r>
      <rPr>
        <sz val="11"/>
        <color theme="2" tint="-0.749992370372631"/>
        <rFont val="Calibri"/>
        <family val="2"/>
        <charset val="204"/>
      </rPr>
      <t>500 мм</t>
    </r>
  </si>
  <si>
    <r>
      <rPr>
        <b/>
        <sz val="11"/>
        <color theme="2" tint="-0.749992370372631"/>
        <rFont val="Calibri"/>
        <family val="2"/>
        <charset val="204"/>
        <scheme val="minor"/>
      </rPr>
      <t>1800 - 4000</t>
    </r>
    <r>
      <rPr>
        <sz val="11"/>
        <color theme="2" tint="-0.749992370372631"/>
        <rFont val="Calibri"/>
        <family val="2"/>
        <charset val="204"/>
        <scheme val="minor"/>
      </rPr>
      <t>, h=250-</t>
    </r>
    <r>
      <rPr>
        <sz val="11"/>
        <color theme="2" tint="-0.749992370372631"/>
        <rFont val="Calibri"/>
        <family val="2"/>
        <charset val="204"/>
      </rPr>
      <t>500 мм</t>
    </r>
  </si>
  <si>
    <r>
      <rPr>
        <b/>
        <sz val="11"/>
        <color theme="2" tint="-0.749992370372631"/>
        <rFont val="Calibri"/>
        <family val="2"/>
        <charset val="204"/>
        <scheme val="minor"/>
      </rPr>
      <t>2600 - 5000</t>
    </r>
    <r>
      <rPr>
        <sz val="11"/>
        <color theme="2" tint="-0.749992370372631"/>
        <rFont val="Calibri"/>
        <family val="2"/>
        <charset val="204"/>
        <scheme val="minor"/>
      </rPr>
      <t>, h=250-6</t>
    </r>
    <r>
      <rPr>
        <sz val="11"/>
        <color theme="2" tint="-0.749992370372631"/>
        <rFont val="Calibri"/>
        <family val="2"/>
        <charset val="204"/>
      </rPr>
      <t>00 мм</t>
    </r>
  </si>
  <si>
    <r>
      <rPr>
        <b/>
        <sz val="26"/>
        <color theme="2" tint="-0.499984740745262"/>
        <rFont val="Segoe UI"/>
        <family val="2"/>
        <charset val="204"/>
      </rPr>
      <t>TOP STAY</t>
    </r>
    <r>
      <rPr>
        <b/>
        <sz val="26"/>
        <color theme="2" tint="-0.749992370372631"/>
        <rFont val="Segoe UI"/>
        <family val="2"/>
        <charset val="204"/>
      </rPr>
      <t xml:space="preserve"> </t>
    </r>
    <r>
      <rPr>
        <b/>
        <sz val="26"/>
        <color rgb="FFC00000"/>
        <rFont val="Segoe UI"/>
        <family val="2"/>
        <charset val="204"/>
      </rPr>
      <t>SQ NEW</t>
    </r>
    <r>
      <rPr>
        <b/>
        <sz val="26"/>
        <color theme="2" tint="-0.749992370372631"/>
        <rFont val="Segoe UI"/>
        <family val="2"/>
        <charset val="204"/>
      </rPr>
      <t xml:space="preserve"> </t>
    </r>
    <phoneticPr fontId="14" type="noConversion"/>
  </si>
  <si>
    <t>weight of handle, in gram</t>
    <phoneticPr fontId="14" type="noConversion"/>
  </si>
  <si>
    <t>calculator list SQ:</t>
    <phoneticPr fontId="14" type="noConversion"/>
  </si>
  <si>
    <t>density 1м2</t>
    <phoneticPr fontId="14" type="noConversion"/>
  </si>
  <si>
    <t>calculation</t>
    <phoneticPr fontId="14" type="noConversion"/>
  </si>
  <si>
    <t>formula</t>
    <phoneticPr fontId="14" type="noConversion"/>
  </si>
  <si>
    <t>Material</t>
    <phoneticPr fontId="14" type="noConversion"/>
  </si>
  <si>
    <t>chipboard 16 мм</t>
    <phoneticPr fontId="14" type="noConversion"/>
  </si>
  <si>
    <t>chipboard 18 мм</t>
    <phoneticPr fontId="14" type="noConversion"/>
  </si>
  <si>
    <t>МDF 16 мм</t>
    <phoneticPr fontId="14" type="noConversion"/>
  </si>
  <si>
    <t>МDF 18/19 мм</t>
    <phoneticPr fontId="14" type="noConversion"/>
  </si>
  <si>
    <t>solid wood 16 мм</t>
    <phoneticPr fontId="14" type="noConversion"/>
  </si>
  <si>
    <t>solid wood 18 мм</t>
    <phoneticPr fontId="14" type="noConversion"/>
  </si>
  <si>
    <t>Aluminium Frame</t>
    <phoneticPr fontId="14" type="noConversion"/>
  </si>
  <si>
    <t>door weight, in kg</t>
    <phoneticPr fontId="14" type="noConversion"/>
  </si>
  <si>
    <t>power factor (LF)</t>
    <phoneticPr fontId="14" type="noConversion"/>
  </si>
  <si>
    <t>www.dtcdtc.com</t>
    <phoneticPr fontId="14" type="noConversion"/>
  </si>
  <si>
    <r>
      <rPr>
        <b/>
        <sz val="11"/>
        <color theme="2" tint="-0.749992370372631"/>
        <rFont val="Calibri"/>
        <family val="2"/>
        <charset val="204"/>
        <scheme val="minor"/>
      </rPr>
      <t>Width</t>
    </r>
    <r>
      <rPr>
        <sz val="11"/>
        <color theme="2" tint="-0.749992370372631"/>
        <rFont val="Calibri"/>
        <family val="2"/>
        <charset val="204"/>
        <scheme val="minor"/>
      </rPr>
      <t>, in mm</t>
    </r>
    <phoneticPr fontId="14" type="noConversion"/>
  </si>
  <si>
    <t>calculator list SF:</t>
    <phoneticPr fontId="14" type="noConversion"/>
  </si>
  <si>
    <t>calculator list SE:</t>
    <phoneticPr fontId="14" type="noConversion"/>
  </si>
  <si>
    <r>
      <rPr>
        <b/>
        <sz val="26"/>
        <color theme="2" tint="-0.499984740745262"/>
        <rFont val="Segoe UI"/>
        <family val="2"/>
        <charset val="204"/>
      </rPr>
      <t>TOP STAY</t>
    </r>
    <r>
      <rPr>
        <b/>
        <sz val="26"/>
        <color theme="2" tint="-0.749992370372631"/>
        <rFont val="Segoe UI"/>
        <family val="2"/>
        <charset val="204"/>
      </rPr>
      <t xml:space="preserve"> </t>
    </r>
    <r>
      <rPr>
        <b/>
        <sz val="26"/>
        <color rgb="FFC00000"/>
        <rFont val="Segoe UI"/>
        <family val="2"/>
        <charset val="204"/>
      </rPr>
      <t>SE push</t>
    </r>
    <r>
      <rPr>
        <b/>
        <sz val="36"/>
        <color theme="2" tint="-0.749992370372631"/>
        <rFont val="Segoe UI"/>
        <family val="2"/>
        <charset val="204"/>
      </rPr>
      <t xml:space="preserve"> </t>
    </r>
    <phoneticPr fontId="14" type="noConversion"/>
  </si>
  <si>
    <t>calculator list ST:</t>
    <phoneticPr fontId="14" type="noConversion"/>
  </si>
  <si>
    <t>door height, in mm</t>
    <phoneticPr fontId="14" type="noConversion"/>
  </si>
  <si>
    <r>
      <rPr>
        <b/>
        <sz val="11"/>
        <color theme="2" tint="-0.749992370372631"/>
        <rFont val="Calibri"/>
        <family val="2"/>
        <charset val="204"/>
        <scheme val="minor"/>
      </rPr>
      <t xml:space="preserve">Height, </t>
    </r>
    <r>
      <rPr>
        <sz val="11"/>
        <color theme="2" tint="-0.749992370372631"/>
        <rFont val="Calibri"/>
        <family val="2"/>
        <charset val="204"/>
        <scheme val="minor"/>
      </rPr>
      <t xml:space="preserve"> in mm (max. 1040мм)</t>
    </r>
    <phoneticPr fontId="14" type="noConversion"/>
  </si>
  <si>
    <r>
      <rPr>
        <b/>
        <sz val="11"/>
        <color theme="2" tint="-0.749992370372631"/>
        <rFont val="Calibri"/>
        <family val="2"/>
        <charset val="204"/>
        <scheme val="minor"/>
      </rPr>
      <t>580 - 1350</t>
    </r>
    <r>
      <rPr>
        <sz val="11"/>
        <color theme="2" tint="-0.749992370372631"/>
        <rFont val="Calibri"/>
        <family val="2"/>
        <charset val="204"/>
        <scheme val="minor"/>
      </rPr>
      <t>, h=250-</t>
    </r>
    <r>
      <rPr>
        <sz val="11"/>
        <color theme="2" tint="-0.749992370372631"/>
        <rFont val="Calibri"/>
        <family val="2"/>
        <charset val="204"/>
      </rPr>
      <t xml:space="preserve">400 </t>
    </r>
    <r>
      <rPr>
        <sz val="11"/>
        <color theme="2" tint="-0.749992370372631"/>
        <rFont val="等线"/>
        <family val="2"/>
        <charset val="134"/>
      </rPr>
      <t>мм</t>
    </r>
    <phoneticPr fontId="14" type="noConversion"/>
  </si>
  <si>
    <t>МDF 22 мм</t>
    <phoneticPr fontId="14" type="noConversion"/>
  </si>
  <si>
    <t>solid wood 22 мм</t>
    <phoneticPr fontId="14" type="noConversion"/>
  </si>
  <si>
    <t>Счетчик списка SQ:</t>
  </si>
  <si>
    <r>
      <rPr>
        <b/>
        <sz val="26"/>
        <color theme="2" tint="-0.499984740745262"/>
        <rFont val="Segoe UI"/>
        <family val="2"/>
        <charset val="204"/>
      </rPr>
      <t>TOP STAY</t>
    </r>
    <r>
      <rPr>
        <b/>
        <sz val="26"/>
        <color theme="2" tint="-0.749992370372631"/>
        <rFont val="Segoe UI"/>
        <family val="2"/>
        <charset val="204"/>
      </rPr>
      <t xml:space="preserve"> </t>
    </r>
    <r>
      <rPr>
        <b/>
        <sz val="26"/>
        <color rgb="FFC00000"/>
        <rFont val="Segoe UI"/>
        <family val="2"/>
        <charset val="204"/>
      </rPr>
      <t>ST</t>
    </r>
    <r>
      <rPr>
        <b/>
        <sz val="36"/>
        <color theme="2" tint="-0.749992370372631"/>
        <rFont val="Segoe UI"/>
        <family val="2"/>
        <charset val="204"/>
      </rPr>
      <t xml:space="preserve"> </t>
    </r>
    <phoneticPr fontId="14" type="noConversion"/>
  </si>
  <si>
    <t>Х</t>
    <phoneticPr fontId="14" type="noConversion"/>
  </si>
  <si>
    <r>
      <rPr>
        <b/>
        <sz val="26"/>
        <color theme="2" tint="-0.499984740745262"/>
        <rFont val="Segoe UI"/>
        <family val="2"/>
        <charset val="204"/>
      </rPr>
      <t xml:space="preserve">   TOP STAY</t>
    </r>
    <r>
      <rPr>
        <b/>
        <sz val="26"/>
        <color theme="2" tint="-0.749992370372631"/>
        <rFont val="Segoe UI"/>
        <family val="2"/>
        <charset val="204"/>
      </rPr>
      <t xml:space="preserve"> </t>
    </r>
    <r>
      <rPr>
        <b/>
        <sz val="26"/>
        <color rgb="FFC00000"/>
        <rFont val="Segoe UI"/>
        <family val="2"/>
        <charset val="204"/>
      </rPr>
      <t>SK</t>
    </r>
    <r>
      <rPr>
        <b/>
        <sz val="36"/>
        <color theme="2" tint="-0.749992370372631"/>
        <rFont val="Segoe UI"/>
        <family val="2"/>
        <charset val="204"/>
      </rPr>
      <t xml:space="preserve"> </t>
    </r>
  </si>
  <si>
    <t>1,3 - 4,2</t>
  </si>
  <si>
    <t>300 - 349</t>
  </si>
  <si>
    <t>1,5 - 2,5</t>
  </si>
  <si>
    <t>350 - 399</t>
  </si>
  <si>
    <t>3,5 - 7,2</t>
  </si>
  <si>
    <t xml:space="preserve">2,5 - 5,0 </t>
  </si>
  <si>
    <t>2,0 - 3,5</t>
  </si>
  <si>
    <t>400 - 550</t>
  </si>
  <si>
    <t>6,5 - 12,0</t>
  </si>
  <si>
    <t>4,5 - 9,0</t>
  </si>
  <si>
    <t>2,8 - 6,5</t>
  </si>
  <si>
    <t>2,0 - 5,2</t>
  </si>
  <si>
    <t>450 - 580</t>
  </si>
  <si>
    <t>11,0 - 20,0</t>
  </si>
  <si>
    <t xml:space="preserve">8,0 - 14,5 </t>
  </si>
  <si>
    <t>5,8 - 11,5</t>
  </si>
  <si>
    <t>4,2 - 9,2</t>
  </si>
  <si>
    <t>13,5 - 20,0</t>
  </si>
  <si>
    <t xml:space="preserve">10,5 -20,0 </t>
  </si>
  <si>
    <t>8,3 - 16,5</t>
  </si>
  <si>
    <r>
      <rPr>
        <b/>
        <sz val="11"/>
        <color theme="2" tint="-0.749992370372631"/>
        <rFont val="Calibri"/>
        <family val="2"/>
        <charset val="204"/>
        <scheme val="minor"/>
      </rPr>
      <t>Height</t>
    </r>
    <r>
      <rPr>
        <sz val="11"/>
        <color theme="2" tint="-0.749992370372631"/>
        <rFont val="Calibri"/>
        <family val="2"/>
        <charset val="204"/>
        <scheme val="minor"/>
      </rPr>
      <t xml:space="preserve">, мм (max. 580) </t>
    </r>
    <phoneticPr fontId="14" type="noConversion"/>
  </si>
  <si>
    <r>
      <rPr>
        <b/>
        <sz val="11"/>
        <color theme="2" tint="-0.749992370372631"/>
        <rFont val="Calibri"/>
        <family val="2"/>
        <charset val="204"/>
        <scheme val="minor"/>
      </rPr>
      <t>Width</t>
    </r>
    <r>
      <rPr>
        <sz val="11"/>
        <color theme="2" tint="-0.749992370372631"/>
        <rFont val="Calibri"/>
        <family val="2"/>
        <charset val="204"/>
        <scheme val="minor"/>
      </rPr>
      <t>, мм</t>
    </r>
    <phoneticPr fontId="14" type="noConversion"/>
  </si>
  <si>
    <t>weight of handle, in g</t>
    <phoneticPr fontId="14" type="noConversion"/>
  </si>
  <si>
    <t>calculator list SK:</t>
    <phoneticPr fontId="14" type="noConversion"/>
  </si>
  <si>
    <t>lever arm set ТOP STAY SK 350-399</t>
  </si>
  <si>
    <t>lever arm set ТOP STAY SK 400-550</t>
  </si>
  <si>
    <t>lever arm set ТOP STAY SK 450-580</t>
  </si>
  <si>
    <t>ТOP STAY SK (D) super light</t>
  </si>
  <si>
    <t>ТOP STAY SK (L) light</t>
  </si>
  <si>
    <t>ТOP STAY SK (M) medium</t>
  </si>
  <si>
    <t>ТOP STAY SK (H) strong</t>
  </si>
  <si>
    <t>ТOP STAY SK (С) super strong</t>
  </si>
  <si>
    <t>Ύψος,σε mm (max. 700мм)</t>
  </si>
  <si>
    <t>Μέγεθος πόρτας και βάρος χερουλιού</t>
  </si>
  <si>
    <t xml:space="preserve">Επίλεξε το υλικό τη λίστα και υπολόγισε το βάρος πόρτας &amp; του συντελεστή δύναμης </t>
  </si>
  <si>
    <t>βάρος πόρτας, σε kg</t>
  </si>
  <si>
    <t>συντελεστής δύναμης (LF)</t>
  </si>
  <si>
    <t xml:space="preserve">Προτεινόμενο μοντέλο </t>
  </si>
  <si>
    <t xml:space="preserve">με λευκό Καπάκι </t>
  </si>
  <si>
    <t>με σκούρο Γκρι Καπάκι</t>
  </si>
  <si>
    <t>Απλή χρήση (ένα σετ)</t>
  </si>
  <si>
    <t>όταν η πόρτα είναι πολύ μεγάλη, χρησιμοποίησε 3ο μηχανισμό, προτεινόμενο μοντέλο</t>
  </si>
  <si>
    <t>Επιλέξτε το κατάλληλο μοντέλο μηχανισμού ανύψωσης Top Stays SF που αντιστοιχεί στο παραπάνω βάρος πόρτας και στον συντελεστή δύναμης (LF). Η τιμή του δείκτη πρέπει να βρίσκεται εντός των ορίων των τιμών του αντίστοιχου μηχανισμού. Όσο πιο κοντά είναι ο συντελεστής δύναμης στη μέση τιμή του εύρους, τόσο ευκολότερη θα είναι η ρύθμιση του μηχανισμού. Εάν η τιμή βρίσκεται στο όριο του εύρους, επιλέξτε ένα ισχυρότερο μοντέλο.</t>
  </si>
  <si>
    <t>Μηχανισμοί</t>
  </si>
  <si>
    <t>Μέσος όρος LF</t>
  </si>
  <si>
    <r>
      <rPr>
        <b/>
        <sz val="26"/>
        <color theme="2" tint="-0.499984740745262"/>
        <rFont val="Segoe UI"/>
        <family val="2"/>
        <charset val="204"/>
      </rPr>
      <t>TOP STAY</t>
    </r>
    <r>
      <rPr>
        <b/>
        <sz val="26"/>
        <color theme="2" tint="-0.749992370372631"/>
        <rFont val="Segoe UI"/>
        <family val="2"/>
        <charset val="204"/>
      </rPr>
      <t xml:space="preserve"> </t>
    </r>
    <r>
      <rPr>
        <b/>
        <sz val="26"/>
        <color rgb="FFC00000"/>
        <rFont val="Segoe UI"/>
        <family val="2"/>
        <charset val="204"/>
      </rPr>
      <t>SQ NEW push</t>
    </r>
    <r>
      <rPr>
        <b/>
        <sz val="26"/>
        <color theme="2" tint="-0.749992370372631"/>
        <rFont val="Segoe UI"/>
        <family val="2"/>
        <charset val="204"/>
      </rPr>
      <t xml:space="preserve"> </t>
    </r>
  </si>
  <si>
    <t>Ύψος, σε mm (max. 600мм)</t>
  </si>
  <si>
    <t>Πλάτος, σε mm</t>
  </si>
  <si>
    <t>Βάρος χερουλιού, σε gr</t>
  </si>
  <si>
    <t>συντελεστής δύναμης(LF)</t>
  </si>
  <si>
    <t>Προτεινόμενο μοντέλο</t>
  </si>
  <si>
    <t>με λευκό καπάκι</t>
  </si>
  <si>
    <t>με σκούρο Γκρι καπάκι</t>
  </si>
  <si>
    <t>LF συνετελστής δύναμης και εύρος ύψους πόρτας</t>
  </si>
  <si>
    <t>Βάρος χερουλιού, σε g</t>
  </si>
  <si>
    <t xml:space="preserve">με σκούρο Γκρι Καπάκι </t>
  </si>
  <si>
    <t xml:space="preserve">όταν η πόρτα είναι πολύ μεγάλη, χρησιμοποίησε 3ο μηχανισμό, προτεινόμενο μοντέλο </t>
  </si>
  <si>
    <r>
      <t xml:space="preserve">Επιλέξτε το κατάλληλο μοντέλο μηχανισμού ανύψωσης </t>
    </r>
    <r>
      <rPr>
        <b/>
        <sz val="11"/>
        <color theme="0" tint="-4.9989318521683403E-2"/>
        <rFont val="Calibri"/>
        <family val="2"/>
        <charset val="161"/>
        <scheme val="minor"/>
      </rPr>
      <t xml:space="preserve">Top Stays SQ new push </t>
    </r>
    <r>
      <rPr>
        <sz val="11"/>
        <color theme="0" tint="-4.9989318521683403E-2"/>
        <rFont val="Calibri"/>
        <family val="2"/>
        <charset val="204"/>
        <scheme val="minor"/>
      </rPr>
      <t>που αντιστοιχεί στο παραπάνω βάρος πόρτας και στον συντελεστή δύναμης (LF). Η τιμή του δείκτη πρέπει να βρίσκεται εντός των ορίων των τιμών του αντίστοιχου μηχανισμού. Όσο πιο κοντά είναι ο συντελεστής δύναμης στη μέση τιμή του εύρους, τόσο ευκολότερη θα είναι η ρύθμιση του μηχανισμού. Εάν η τιμή βρίσκεται στο όριο του εύρους, επιλέξτε ένα ισχυρότερο μοντέλο.</t>
    </r>
  </si>
  <si>
    <r>
      <t xml:space="preserve">Επιλέξτε το κατάλληλο μοντέλο μηχανισμού ανύψωσης Top </t>
    </r>
    <r>
      <rPr>
        <b/>
        <sz val="11"/>
        <color theme="0" tint="-4.9989318521683403E-2"/>
        <rFont val="Calibri"/>
        <family val="2"/>
        <charset val="161"/>
        <scheme val="minor"/>
      </rPr>
      <t>Stays SQ new</t>
    </r>
    <r>
      <rPr>
        <sz val="11"/>
        <color theme="0" tint="-4.9989318521683403E-2"/>
        <rFont val="Calibri"/>
        <family val="2"/>
        <charset val="204"/>
        <scheme val="minor"/>
      </rPr>
      <t xml:space="preserve"> που αντιστοιχεί στο παραπάνω βάρος πόρτας και στον συντελεστή δύναμης (LF). Η τιμή του δείκτη πρέπει να βρίσκεται εντός των ορίων των τιμών του αντίστοιχου μηχανισμού. Όσο πιο κοντά είναι ο συντελεστής δύναμης στη μέση τιμή του εύρους, τόσο ευκολότερη θα είναι η ρύθμιση του μηχανισμού. Εάν η τιμή βρίσκεται στο όριο του εύρους, επιλέξτε ένα ισχυρότερο μοντέλο.</t>
    </r>
  </si>
  <si>
    <t>Ύψος, σε mm (max. 500мм)</t>
  </si>
  <si>
    <t xml:space="preserve">Επίλεξε το υλικό της πόρτας από τη λίστακαι υπολόγισε το βάρος πόρτας και τον απαιτούμενοσυντελεστή δύναμης </t>
  </si>
  <si>
    <t>με σκούρο Γκρι καμπάκι</t>
  </si>
  <si>
    <t>Απλή χρήση(ένα σετ)</t>
  </si>
  <si>
    <t xml:space="preserve">όταν η πόρτα είναι πολύ μεγάλη, χρησιμοποίησε τον 3ο μηχανιμό, προτεινόμενο μοντέλο </t>
  </si>
  <si>
    <t>Επιλέξτε το κατάλληλο μοντέλο μηχανισμού ανύψωσης Top Stays SQ old που αντιστοιχεί στο παραπάνω βάρος πόρτας και στον συντελεστή δύναμης (LF). Η τιμή του δείκτη πρέπει να βρίσκεται εντός των ορίων των τιμών του αντίστοιχου μηχανισμού. Όσο πιο κοντά είναι ο συντελεστής δύναμης στη μέση τιμή του εύρους, τόσο ευκολότερη θα είναι η ρύθμιση του μηχανισμού. Εάν η τιμή βρίσκεται στο όριο του εύρους, επιλέξτε ένα ισχυρότερο μοντέλο.</t>
  </si>
  <si>
    <t>Μηχανισμός</t>
  </si>
  <si>
    <t>LF συντελεστής δύναμης</t>
  </si>
  <si>
    <t>Ύψος,  σε mm (max. 600мм)</t>
  </si>
  <si>
    <t xml:space="preserve">Επίλεξε το υλικό πόρτας από την παρακάτω λίστα και υπολόγισε το βάρος της πόρτας και τον απαιτούμενο συντελεστή δύναμης. </t>
  </si>
  <si>
    <t>βάτρος πόρτας, in kg</t>
  </si>
  <si>
    <t>ένα σετ</t>
  </si>
  <si>
    <t>δύο σετ</t>
  </si>
  <si>
    <t>4.Επιλέξτε το κατάλληλο μοντέλο μηχανισμού ανύψωσης Top Stays SE που αντιστοιχεί στο παραπάνω βάρος πόρτας και στον συντελεστή δύναμης (LF). Η τιμή του δείκτη πρέπει να βρίσκεται εντός των ορίων των τιμών του αντίστοιχου μηχανισμού. Όσο πιο κοντά είναι ο συντελεστής δύναμης στη μέση τιμή του εύρους, τόσο ευκολότερη θα είναι η ρύθμιση του μηχανισμού. Εάν η τιμή βρίσκεται στο όριο του εύρους, επιλέξτε ένα ισχυρότερο μοντέλο.</t>
  </si>
  <si>
    <t>βάρος πόρτας, in kg</t>
  </si>
  <si>
    <t>4.Επιλέξτε το κατάλληλο μοντέλο μηχανισμού ανύψωσης Top Stays SE push που αντιστοιχεί στο παραπάνω βάρος πόρτας και στον συντελεστή δύναμης (LF). Η τιμή του δείκτη πρέπει να βρίσκεται εντός των ορίων των τιμών του αντίστοιχου μηχανισμού. Όσο πιο κοντά είναι ο συντελεστής δύναμης στη μέση τιμή του εύρους, τόσο ευκολότερη θα είναι η ρύθμιση του μηχανισμού. Εάν η τιμή βρίσκεται στο όριο του εύρους, επιλέξτε ένα ισχυρότερο μοντέλο.</t>
  </si>
  <si>
    <t>LF εύρος συντελεστή δύναμης</t>
  </si>
  <si>
    <t>Μέσος Όρος LF</t>
  </si>
  <si>
    <t>ύψος πόρτας, σε mm</t>
  </si>
  <si>
    <t>4.Επιλέξτε το κατάλληλο μοντέλο μηχανισμού ανύψωσης Top Stays ST που αντιστοιχεί στο παραπάνω βάρος πόρτας και στον συντελεστή δύναμης (LF). Η τιμή του δείκτη πρέπει να βρίσκεται εντός των ορίων των τιμών του αντίστοιχου μηχανισμού. Όσο πιο κοντά είναι ο συντελεστής δύναμης στη μέση τιμή του εύρους, τόσο ευκολότερη θα είναι η ρύθμιση του μηχανισμού. Εάν η τιμή βρίσκεται στο όριο του εύρους, επιλέξτε ένα ισχυρότερο μοντέλο.</t>
  </si>
  <si>
    <t>Λευκό καπάκι</t>
  </si>
  <si>
    <t>Σκούρο γκρι καπάκι</t>
  </si>
  <si>
    <t xml:space="preserve">Μέγεθος πόρτας και βάρος χερουλιού </t>
  </si>
  <si>
    <t>4.Επιλέξτε το κατάλληλο μοντέλο μηχανισμού ανύψωσης Top Stays SK που αντιστοιχεί στο παραπάνω βάρος πόρτας και στον συντελεστή δύναμης (LF). Η τιμή του δείκτη πρέπει να βρίσκεται εντός των ορίων των τιμών του αντίστοιχου μηχανισμού. Όσο πιο κοντά είναι ο συντελεστής δύναμης στη μέση τιμή του εύρους, τόσο ευκολότερη θα είναι η ρύθμιση του μηχανισμού. Εάν η τιμή βρίσκεται στο όριο του εύρους, επιλέξτε ένα ισχυρότερο μοντέλο.</t>
  </si>
  <si>
    <t>βάρος πόρτας in kg</t>
  </si>
  <si>
    <t>ύψος πόρτας, in mm</t>
  </si>
  <si>
    <t>Προτεινόμενο μοντέλο με λευκό καπάκι</t>
  </si>
  <si>
    <t>Προτεινόμενο μοντέλο με σκούρο γκρι καπάκι</t>
  </si>
  <si>
    <t>Επιλέξτε το βραχίονα SK που αντιστοιχεί στο ύψος της πόρτας και προσθέστε τον στην παραγγελία. Για καλύτερη απόδοση, εάν η απαιτούμενη τιμή βρίσκεται στην περιοχή επικάλυψης δύο βραχιόνων, προτιμήστε τον κοντύτερο βραχίονα.</t>
  </si>
  <si>
    <t>Βραχίονες</t>
  </si>
  <si>
    <t>Προτεινόμενο μοντέλο βραχίονα</t>
  </si>
  <si>
    <t>lever arm set ТOP STAY SK 300-349</t>
  </si>
  <si>
    <t xml:space="preserve">ΠΡΟΣΟΧΗ: Στοιχεία διαστάσεων θα πρέπει να περνάτε μόνο στα λευκά κελιά.  Αν γράψετε σε γκρι κελί δεν θα λειτουργήσει το υπολογιστικό φύλλο και θα σας βγάλει λανθασμένα αποτελέσματα.Ο υπολογισμός μπορεί να γίνει μόνο αν ανοίξετε το αρχείο σε υπολογιστή (δεν δουλεύει σε κινητά ή τάμπλετ).			</t>
  </si>
  <si>
    <t>ATTENTION: Dimension data must be entered only in the white cells.
If you enter data in a grey cell, the spreadsheet will not function properly and will produce incorrect results.
The calculation can only be performed when the file is opened on a computer (it does not work on mobile phones or tablets).</t>
  </si>
  <si>
    <t>lever arm set ТOP STAY SK 300-349</t>
    <phoneticPr fontId="14" type="noConversion"/>
  </si>
  <si>
    <t>Suggested lever arm set model</t>
    <phoneticPr fontId="14" type="noConversion"/>
  </si>
  <si>
    <t>lever arms</t>
    <phoneticPr fontId="14" type="noConversion"/>
  </si>
  <si>
    <r>
      <t xml:space="preserve">Select the lever arm of SK corresponding to the door height, and add them to the order. For better performance, </t>
    </r>
    <r>
      <rPr>
        <b/>
        <sz val="11"/>
        <color theme="0" tint="-4.9989318521683403E-2"/>
        <rFont val="Calibri"/>
        <family val="3"/>
        <charset val="134"/>
        <scheme val="minor"/>
      </rPr>
      <t>select a shorter arm in duplicate value  area.</t>
    </r>
  </si>
  <si>
    <t>Suggested model in Dark Grey</t>
    <phoneticPr fontId="14" type="noConversion"/>
  </si>
  <si>
    <t>Suggested Model in White</t>
    <phoneticPr fontId="14" type="noConversion"/>
  </si>
  <si>
    <t>Mechanism Reference</t>
    <phoneticPr fontId="14" type="noConversion"/>
  </si>
  <si>
    <r>
      <t xml:space="preserve">Select the Top Stay SK mechanism corresponding to the above door weight and height. The door weight and height shall be within the limit of the individual article of the mechanism. The closer your values are to the average weight and height, the easier it will be to adjust the mechanism. For better performance, </t>
    </r>
    <r>
      <rPr>
        <b/>
        <sz val="11"/>
        <color theme="0" tint="-4.9989318521683403E-2"/>
        <rFont val="Calibri"/>
        <family val="3"/>
        <charset val="134"/>
        <scheme val="minor"/>
      </rPr>
      <t>select a lighter model in duplicate value  area.</t>
    </r>
  </si>
  <si>
    <t xml:space="preserve">Select the door material from the drop-down list and get the door weight    </t>
    <phoneticPr fontId="14" type="noConversion"/>
  </si>
  <si>
    <r>
      <rPr>
        <b/>
        <sz val="11"/>
        <color theme="2" tint="-0.749992370372631"/>
        <rFont val="Calibri"/>
        <family val="2"/>
        <charset val="204"/>
        <scheme val="minor"/>
      </rPr>
      <t>Width</t>
    </r>
    <r>
      <rPr>
        <sz val="11"/>
        <color theme="2" tint="-0.749992370372631"/>
        <rFont val="Calibri"/>
        <family val="2"/>
        <charset val="204"/>
        <scheme val="minor"/>
      </rPr>
      <t>, мм</t>
    </r>
  </si>
  <si>
    <r>
      <rPr>
        <b/>
        <sz val="11"/>
        <color theme="2" tint="-0.749992370372631"/>
        <rFont val="Calibri"/>
        <family val="2"/>
        <charset val="204"/>
        <scheme val="minor"/>
      </rPr>
      <t>Height</t>
    </r>
    <r>
      <rPr>
        <sz val="11"/>
        <color theme="2" tint="-0.749992370372631"/>
        <rFont val="Calibri"/>
        <family val="2"/>
        <charset val="204"/>
        <scheme val="minor"/>
      </rPr>
      <t xml:space="preserve">, мм (max. 580) </t>
    </r>
  </si>
  <si>
    <t xml:space="preserve">Enter the dimensions of the front and the weight of the handle:                 </t>
    <phoneticPr fontId="14"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</si>
</sst>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Calibri"/>
      <family val="2"/>
      <scheme val="minor"/>
    </font>
    <font>
      <sz val="11"/>
      <color rgb="FF006100"/>
      <name val="Calibri"/>
      <family val="2"/>
      <charset val="204"/>
      <scheme val="minor"/>
    </font>
    <font>
      <sz val="11"/>
      <color rgb="FF9C6500"/>
      <name val="Calibri"/>
      <family val="2"/>
      <charset val="204"/>
      <scheme val="minor"/>
    </font>
    <font>
      <sz val="11"/>
      <color theme="2" tint="-0.749992370372631"/>
      <name val="Calibri"/>
      <family val="2"/>
      <charset val="204"/>
      <scheme val="minor"/>
    </font>
    <font>
      <b/>
      <sz val="11"/>
      <color theme="2" tint="-0.749992370372631"/>
      <name val="Calibri"/>
      <family val="2"/>
      <charset val="204"/>
      <scheme val="minor"/>
    </font>
    <font>
      <sz val="11"/>
      <color theme="0" tint="-4.9989318521683403E-2"/>
      <name val="Calibri"/>
      <family val="2"/>
      <charset val="204"/>
      <scheme val="minor"/>
    </font>
    <font>
      <b/>
      <sz val="11"/>
      <color theme="0" tint="-4.9989318521683403E-2"/>
      <name val="Calibri"/>
      <family val="2"/>
      <charset val="204"/>
      <scheme val="minor"/>
    </font>
    <font>
      <b/>
      <sz val="16"/>
      <color theme="2" tint="-0.749992370372631"/>
      <name val="Calibri"/>
      <family val="2"/>
      <charset val="204"/>
      <scheme val="minor"/>
    </font>
    <font>
      <u/>
      <sz val="11"/>
      <color theme="10"/>
      <name val="Calibri"/>
      <family val="2"/>
      <scheme val="minor"/>
    </font>
    <font>
      <b/>
      <sz val="36"/>
      <color theme="2" tint="-0.749992370372631"/>
      <name val="Segoe UI"/>
      <family val="2"/>
      <charset val="204"/>
    </font>
    <font>
      <sz val="11"/>
      <color theme="2" tint="-0.749992370372631"/>
      <name val="Calibri"/>
      <family val="2"/>
      <charset val="204"/>
    </font>
    <font>
      <b/>
      <sz val="26"/>
      <color theme="2" tint="-0.499984740745262"/>
      <name val="Segoe UI"/>
      <family val="2"/>
      <charset val="204"/>
    </font>
    <font>
      <b/>
      <sz val="26"/>
      <color theme="2" tint="-0.749992370372631"/>
      <name val="Segoe UI"/>
      <family val="2"/>
      <charset val="204"/>
    </font>
    <font>
      <b/>
      <sz val="26"/>
      <color rgb="FFC00000"/>
      <name val="Segoe UI"/>
      <family val="2"/>
      <charset val="204"/>
    </font>
    <font>
      <sz val="9"/>
      <name val="Calibri"/>
      <family val="3"/>
      <charset val="134"/>
      <scheme val="minor"/>
    </font>
    <font>
      <b/>
      <sz val="10"/>
      <color theme="2" tint="-0.749992370372631"/>
      <name val="Calibri"/>
      <family val="2"/>
      <charset val="204"/>
      <scheme val="minor"/>
    </font>
    <font>
      <b/>
      <sz val="11"/>
      <color theme="2" tint="-0.749992370372631"/>
      <name val="Calibri"/>
      <family val="3"/>
      <charset val="134"/>
      <scheme val="minor"/>
    </font>
    <font>
      <sz val="11"/>
      <color theme="2" tint="-0.749992370372631"/>
      <name val="Calibri"/>
      <family val="3"/>
      <charset val="134"/>
      <scheme val="minor"/>
    </font>
    <font>
      <sz val="11"/>
      <color theme="2" tint="-0.749992370372631"/>
      <name val="等线"/>
      <family val="2"/>
      <charset val="134"/>
    </font>
    <font>
      <sz val="11"/>
      <color theme="1"/>
      <name val="Calibri"/>
      <family val="2"/>
      <scheme val="minor"/>
    </font>
    <font>
      <b/>
      <sz val="11"/>
      <color theme="0"/>
      <name val="Calibri"/>
      <family val="3"/>
      <charset val="134"/>
      <scheme val="minor"/>
    </font>
    <font>
      <b/>
      <sz val="11"/>
      <color theme="1"/>
      <name val="Calibri"/>
      <family val="3"/>
      <charset val="134"/>
      <scheme val="minor"/>
    </font>
    <font>
      <b/>
      <sz val="11"/>
      <color rgb="FFFFC000"/>
      <name val="Calibri"/>
      <family val="3"/>
      <charset val="134"/>
      <scheme val="minor"/>
    </font>
    <font>
      <b/>
      <sz val="12"/>
      <color theme="1"/>
      <name val="Calibri"/>
      <family val="3"/>
      <charset val="134"/>
      <scheme val="minor"/>
    </font>
    <font>
      <b/>
      <sz val="12"/>
      <color rgb="FFFFC000"/>
      <name val="Calibri"/>
      <family val="3"/>
      <charset val="134"/>
      <scheme val="minor"/>
    </font>
    <font>
      <b/>
      <sz val="11"/>
      <color theme="1"/>
      <name val="Calibri"/>
      <family val="2"/>
      <scheme val="minor"/>
    </font>
    <font>
      <b/>
      <sz val="15"/>
      <color theme="1"/>
      <name val="Calibri"/>
      <family val="3"/>
      <charset val="134"/>
      <scheme val="minor"/>
    </font>
    <font>
      <sz val="11"/>
      <color theme="1"/>
      <name val="Calibri"/>
      <family val="2"/>
      <charset val="204"/>
      <scheme val="minor"/>
    </font>
    <font>
      <sz val="11"/>
      <color theme="0"/>
      <name val="Calibri"/>
      <family val="2"/>
      <charset val="204"/>
      <scheme val="minor"/>
    </font>
    <font>
      <sz val="11"/>
      <name val="Calibri"/>
      <family val="2"/>
      <charset val="204"/>
      <scheme val="minor"/>
    </font>
    <font>
      <b/>
      <sz val="11"/>
      <color theme="0" tint="-4.9989318521683403E-2"/>
      <name val="Calibri"/>
      <family val="2"/>
      <charset val="161"/>
      <scheme val="minor"/>
    </font>
    <font>
      <sz val="9"/>
      <color theme="1"/>
      <name val="Calibri"/>
      <family val="2"/>
      <charset val="161"/>
      <scheme val="minor"/>
    </font>
    <font>
      <b/>
      <sz val="11"/>
      <color theme="0" tint="-4.9989318521683403E-2"/>
      <name val="Calibri"/>
      <family val="3"/>
      <charset val="134"/>
      <scheme val="minor"/>
    </font>
  </fonts>
  <fills count="11">
    <fill>
      <patternFill patternType="none"/>
    </fill>
    <fill>
      <patternFill patternType="gray125"/>
    </fill>
    <fill>
      <patternFill patternType="solid">
        <fgColor rgb="FFC6EFCE"/>
      </patternFill>
    </fill>
    <fill>
      <patternFill patternType="solid">
        <fgColor rgb="FFFFEB9C"/>
      </patternFill>
    </fill>
    <fill>
      <patternFill patternType="solid">
        <fgColor rgb="FFC61C34"/>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4D4D4D"/>
        <bgColor indexed="64"/>
      </patternFill>
    </fill>
    <fill>
      <patternFill patternType="solid">
        <fgColor theme="6" tint="0.79998168889431442"/>
        <bgColor indexed="64"/>
      </patternFill>
    </fill>
    <fill>
      <patternFill patternType="solid">
        <fgColor theme="0"/>
        <bgColor indexed="64"/>
      </patternFill>
    </fill>
    <fill>
      <patternFill patternType="solid">
        <fgColor theme="6" tint="0.59999389629810485"/>
        <bgColor indexed="64"/>
      </patternFill>
    </fill>
  </fills>
  <borders count="5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style="medium">
        <color indexed="64"/>
      </top>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style="thin">
        <color indexed="64"/>
      </right>
      <top style="medium">
        <color indexed="64"/>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thin">
        <color indexed="64"/>
      </top>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style="thin">
        <color indexed="64"/>
      </top>
      <bottom style="medium">
        <color indexed="64"/>
      </bottom>
      <diagonal/>
    </border>
  </borders>
  <cellStyleXfs count="4">
    <xf numFmtId="0" fontId="0" fillId="0" borderId="0"/>
    <xf numFmtId="0" fontId="1" fillId="2" borderId="0" applyNumberFormat="0" applyBorder="0" applyAlignment="0" applyProtection="0"/>
    <xf numFmtId="0" fontId="2" fillId="3" borderId="0" applyNumberFormat="0" applyBorder="0" applyAlignment="0" applyProtection="0"/>
    <xf numFmtId="0" fontId="8" fillId="0" borderId="0" applyNumberFormat="0" applyFill="0" applyBorder="0" applyAlignment="0" applyProtection="0"/>
  </cellStyleXfs>
  <cellXfs count="183">
    <xf numFmtId="0" fontId="0" fillId="0" borderId="0" xfId="0"/>
    <xf numFmtId="0" fontId="0" fillId="0" borderId="1" xfId="0" applyBorder="1"/>
    <xf numFmtId="0" fontId="3" fillId="5" borderId="3" xfId="2" applyFont="1" applyFill="1" applyBorder="1" applyAlignment="1" applyProtection="1">
      <alignment horizontal="center" vertical="center"/>
      <protection hidden="1"/>
    </xf>
    <xf numFmtId="0" fontId="3" fillId="5" borderId="8" xfId="2" applyFont="1" applyFill="1" applyBorder="1" applyAlignment="1" applyProtection="1">
      <alignment horizontal="center" vertical="center"/>
      <protection hidden="1"/>
    </xf>
    <xf numFmtId="0" fontId="3" fillId="5" borderId="8" xfId="1" applyFont="1" applyFill="1" applyBorder="1" applyProtection="1">
      <protection hidden="1"/>
    </xf>
    <xf numFmtId="0" fontId="3" fillId="5" borderId="1" xfId="1" applyFont="1" applyFill="1" applyBorder="1" applyAlignment="1" applyProtection="1">
      <alignment horizontal="center"/>
      <protection hidden="1"/>
    </xf>
    <xf numFmtId="0" fontId="3" fillId="5" borderId="11" xfId="1" applyFont="1" applyFill="1" applyBorder="1" applyAlignment="1" applyProtection="1">
      <alignment horizontal="center"/>
      <protection hidden="1"/>
    </xf>
    <xf numFmtId="0" fontId="3" fillId="5" borderId="18" xfId="2" applyFont="1" applyFill="1" applyBorder="1" applyAlignment="1" applyProtection="1">
      <alignment horizontal="center" vertical="center"/>
      <protection hidden="1"/>
    </xf>
    <xf numFmtId="0" fontId="3" fillId="5" borderId="2" xfId="2" applyFont="1" applyFill="1" applyBorder="1" applyAlignment="1" applyProtection="1">
      <alignment horizontal="center" vertical="center"/>
      <protection hidden="1"/>
    </xf>
    <xf numFmtId="0" fontId="3" fillId="0" borderId="10" xfId="1" applyFont="1" applyFill="1" applyBorder="1" applyAlignment="1" applyProtection="1">
      <alignment horizontal="center" vertical="center"/>
      <protection locked="0" hidden="1"/>
    </xf>
    <xf numFmtId="0" fontId="3" fillId="0" borderId="11" xfId="1" applyFont="1" applyFill="1" applyBorder="1" applyAlignment="1" applyProtection="1">
      <alignment horizontal="center" vertical="center"/>
      <protection locked="0" hidden="1"/>
    </xf>
    <xf numFmtId="0" fontId="3" fillId="0" borderId="12" xfId="1" applyFont="1" applyFill="1" applyBorder="1" applyAlignment="1" applyProtection="1">
      <alignment horizontal="center" vertical="center"/>
      <protection locked="0" hidden="1"/>
    </xf>
    <xf numFmtId="0" fontId="0" fillId="0" borderId="1" xfId="0" applyBorder="1" applyProtection="1">
      <protection locked="0" hidden="1"/>
    </xf>
    <xf numFmtId="0" fontId="0" fillId="0" borderId="1" xfId="0" applyBorder="1" applyAlignment="1" applyProtection="1">
      <alignment horizontal="center" vertical="center"/>
      <protection locked="0" hidden="1"/>
    </xf>
    <xf numFmtId="0" fontId="4" fillId="5" borderId="1" xfId="1" applyFont="1" applyFill="1" applyBorder="1" applyAlignment="1" applyProtection="1">
      <alignment horizontal="center"/>
      <protection hidden="1"/>
    </xf>
    <xf numFmtId="2" fontId="3" fillId="5" borderId="11" xfId="0" applyNumberFormat="1" applyFont="1" applyFill="1" applyBorder="1" applyAlignment="1" applyProtection="1">
      <alignment horizontal="center" vertical="center"/>
      <protection hidden="1"/>
    </xf>
    <xf numFmtId="0" fontId="3" fillId="5" borderId="8" xfId="1" applyFont="1" applyFill="1" applyBorder="1" applyAlignment="1" applyProtection="1">
      <alignment horizontal="left" vertical="center"/>
      <protection hidden="1"/>
    </xf>
    <xf numFmtId="0" fontId="3" fillId="5" borderId="10" xfId="1" applyFont="1" applyFill="1" applyBorder="1" applyAlignment="1" applyProtection="1">
      <alignment horizontal="left" vertical="center"/>
      <protection hidden="1"/>
    </xf>
    <xf numFmtId="2" fontId="4" fillId="5" borderId="11" xfId="0" applyNumberFormat="1" applyFont="1" applyFill="1" applyBorder="1" applyAlignment="1" applyProtection="1">
      <alignment horizontal="center" vertical="center"/>
      <protection hidden="1"/>
    </xf>
    <xf numFmtId="0" fontId="3" fillId="5" borderId="13" xfId="1" applyFont="1" applyFill="1" applyBorder="1" applyAlignment="1" applyProtection="1">
      <alignment horizontal="left" vertical="center"/>
      <protection hidden="1"/>
    </xf>
    <xf numFmtId="0" fontId="4" fillId="5" borderId="19" xfId="2" applyFont="1" applyFill="1" applyBorder="1" applyAlignment="1" applyProtection="1">
      <alignment horizontal="center" vertical="center"/>
      <protection hidden="1"/>
    </xf>
    <xf numFmtId="0" fontId="15" fillId="5" borderId="19" xfId="2" applyFont="1" applyFill="1" applyBorder="1" applyAlignment="1" applyProtection="1">
      <alignment horizontal="center" vertical="center"/>
      <protection hidden="1"/>
    </xf>
    <xf numFmtId="0" fontId="0" fillId="0" borderId="0" xfId="0" applyAlignment="1">
      <alignment vertical="center" wrapText="1"/>
    </xf>
    <xf numFmtId="0" fontId="16" fillId="5" borderId="18" xfId="2" applyFont="1" applyFill="1" applyBorder="1" applyAlignment="1" applyProtection="1">
      <alignment horizontal="center" vertical="center"/>
      <protection hidden="1"/>
    </xf>
    <xf numFmtId="0" fontId="16" fillId="5" borderId="2" xfId="2" applyFont="1" applyFill="1" applyBorder="1" applyAlignment="1" applyProtection="1">
      <alignment horizontal="center" vertical="center"/>
      <protection hidden="1"/>
    </xf>
    <xf numFmtId="0" fontId="17" fillId="5" borderId="3" xfId="2" applyFont="1" applyFill="1" applyBorder="1" applyAlignment="1" applyProtection="1">
      <alignment horizontal="center" vertical="center"/>
      <protection hidden="1"/>
    </xf>
    <xf numFmtId="0" fontId="16" fillId="5" borderId="3" xfId="2" applyFont="1" applyFill="1" applyBorder="1" applyAlignment="1" applyProtection="1">
      <alignment horizontal="center" vertical="center"/>
      <protection hidden="1"/>
    </xf>
    <xf numFmtId="0" fontId="16" fillId="5" borderId="8" xfId="2" applyFont="1" applyFill="1" applyBorder="1" applyAlignment="1" applyProtection="1">
      <alignment horizontal="center" vertical="center"/>
      <protection hidden="1"/>
    </xf>
    <xf numFmtId="0" fontId="16" fillId="5" borderId="1" xfId="2" applyFont="1" applyFill="1" applyBorder="1" applyAlignment="1" applyProtection="1">
      <alignment horizontal="center" vertical="center"/>
      <protection hidden="1"/>
    </xf>
    <xf numFmtId="0" fontId="0" fillId="0" borderId="0" xfId="0" applyAlignment="1">
      <alignment vertical="center"/>
    </xf>
    <xf numFmtId="0" fontId="0" fillId="0" borderId="3" xfId="0" applyBorder="1" applyProtection="1">
      <protection locked="0" hidden="1"/>
    </xf>
    <xf numFmtId="0" fontId="20" fillId="4" borderId="1" xfId="1" applyFont="1" applyFill="1" applyBorder="1" applyAlignment="1" applyProtection="1">
      <alignment horizontal="center" vertical="center" wrapText="1"/>
      <protection hidden="1"/>
    </xf>
    <xf numFmtId="2" fontId="3" fillId="5" borderId="3" xfId="0" applyNumberFormat="1" applyFont="1" applyFill="1" applyBorder="1" applyAlignment="1" applyProtection="1">
      <alignment horizontal="center" vertical="center"/>
      <protection hidden="1"/>
    </xf>
    <xf numFmtId="0" fontId="20" fillId="4" borderId="38" xfId="1" applyFont="1" applyFill="1" applyBorder="1" applyAlignment="1" applyProtection="1">
      <alignment horizontal="center" vertical="center" wrapText="1"/>
      <protection hidden="1"/>
    </xf>
    <xf numFmtId="0" fontId="20" fillId="4" borderId="11" xfId="1" applyFont="1" applyFill="1" applyBorder="1" applyAlignment="1" applyProtection="1">
      <alignment horizontal="center" vertical="center" wrapText="1"/>
      <protection hidden="1"/>
    </xf>
    <xf numFmtId="0" fontId="0" fillId="0" borderId="40" xfId="0" applyBorder="1"/>
    <xf numFmtId="0" fontId="0" fillId="0" borderId="34" xfId="0" applyBorder="1"/>
    <xf numFmtId="0" fontId="25" fillId="0" borderId="0" xfId="2" applyFont="1" applyFill="1" applyBorder="1" applyAlignment="1" applyProtection="1">
      <alignment horizontal="center" vertical="center"/>
      <protection hidden="1"/>
    </xf>
    <xf numFmtId="0" fontId="19" fillId="0" borderId="0" xfId="0" applyFont="1" applyAlignment="1">
      <alignment vertical="center" wrapText="1"/>
    </xf>
    <xf numFmtId="0" fontId="19" fillId="0" borderId="0" xfId="0" applyFont="1"/>
    <xf numFmtId="0" fontId="25" fillId="0" borderId="0" xfId="2" applyFont="1" applyFill="1" applyBorder="1" applyAlignment="1" applyProtection="1">
      <alignment horizontal="center" vertical="center" wrapText="1"/>
      <protection hidden="1"/>
    </xf>
    <xf numFmtId="2" fontId="16" fillId="8" borderId="38" xfId="0" applyNumberFormat="1" applyFont="1" applyFill="1" applyBorder="1" applyAlignment="1" applyProtection="1">
      <alignment horizontal="center" vertical="center"/>
      <protection hidden="1"/>
    </xf>
    <xf numFmtId="0" fontId="23" fillId="8" borderId="1" xfId="0" applyFont="1" applyFill="1" applyBorder="1" applyAlignment="1">
      <alignment horizontal="center" vertical="center" wrapText="1"/>
    </xf>
    <xf numFmtId="0" fontId="21" fillId="8" borderId="11" xfId="0" applyFont="1" applyFill="1" applyBorder="1" applyAlignment="1">
      <alignment horizontal="center" vertical="center" wrapText="1"/>
    </xf>
    <xf numFmtId="0" fontId="23" fillId="8" borderId="11" xfId="0" applyFont="1" applyFill="1" applyBorder="1" applyAlignment="1">
      <alignment horizontal="center" vertical="center" wrapText="1"/>
    </xf>
    <xf numFmtId="0" fontId="20" fillId="7" borderId="25" xfId="0" applyFont="1" applyFill="1" applyBorder="1" applyAlignment="1">
      <alignment horizontal="center" vertical="center"/>
    </xf>
    <xf numFmtId="0" fontId="20" fillId="7" borderId="30" xfId="0" applyFont="1" applyFill="1" applyBorder="1" applyAlignment="1">
      <alignment horizontal="center" vertical="center"/>
    </xf>
    <xf numFmtId="0" fontId="21" fillId="0" borderId="0" xfId="0" applyFont="1" applyAlignment="1">
      <alignment horizontal="center" vertical="center"/>
    </xf>
    <xf numFmtId="0" fontId="20" fillId="0" borderId="0" xfId="0" applyFont="1" applyAlignment="1">
      <alignment horizontal="center" vertical="center"/>
    </xf>
    <xf numFmtId="0" fontId="20" fillId="7" borderId="44" xfId="0" applyFont="1" applyFill="1" applyBorder="1" applyAlignment="1">
      <alignment horizontal="center" vertical="center" wrapText="1"/>
    </xf>
    <xf numFmtId="0" fontId="21" fillId="6" borderId="37" xfId="0" applyFont="1" applyFill="1" applyBorder="1" applyAlignment="1">
      <alignment horizontal="center" vertical="center" wrapText="1"/>
    </xf>
    <xf numFmtId="0" fontId="21" fillId="6" borderId="22" xfId="0" applyFont="1" applyFill="1" applyBorder="1" applyAlignment="1">
      <alignment horizontal="center" vertical="center"/>
    </xf>
    <xf numFmtId="0" fontId="21" fillId="6" borderId="23" xfId="0" applyFont="1" applyFill="1" applyBorder="1" applyAlignment="1">
      <alignment horizontal="center" vertical="center"/>
    </xf>
    <xf numFmtId="0" fontId="3" fillId="5" borderId="1" xfId="2" applyFont="1" applyFill="1" applyBorder="1" applyAlignment="1" applyProtection="1">
      <alignment horizontal="center" vertical="center"/>
      <protection hidden="1"/>
    </xf>
    <xf numFmtId="2" fontId="4" fillId="5" borderId="3" xfId="0" applyNumberFormat="1" applyFont="1" applyFill="1" applyBorder="1" applyAlignment="1" applyProtection="1">
      <alignment horizontal="center" vertical="center"/>
      <protection hidden="1"/>
    </xf>
    <xf numFmtId="0" fontId="26" fillId="0" borderId="0" xfId="0" applyFont="1" applyAlignment="1">
      <alignment horizontal="center" vertical="center"/>
    </xf>
    <xf numFmtId="0" fontId="3" fillId="5" borderId="1" xfId="2" applyFont="1" applyFill="1" applyBorder="1" applyAlignment="1" applyProtection="1">
      <alignment horizontal="left" vertical="center"/>
      <protection hidden="1"/>
    </xf>
    <xf numFmtId="0" fontId="27" fillId="9" borderId="1" xfId="0" applyFont="1" applyFill="1" applyBorder="1" applyAlignment="1">
      <alignment horizontal="center" vertical="center" wrapText="1"/>
    </xf>
    <xf numFmtId="0" fontId="28" fillId="7" borderId="9" xfId="0" applyFont="1" applyFill="1" applyBorder="1" applyAlignment="1">
      <alignment horizontal="center" vertical="center" wrapText="1"/>
    </xf>
    <xf numFmtId="0" fontId="20" fillId="0" borderId="0" xfId="0" applyFont="1" applyAlignment="1">
      <alignment horizontal="center" vertical="center" wrapText="1"/>
    </xf>
    <xf numFmtId="0" fontId="3" fillId="5" borderId="1" xfId="1" applyFont="1" applyFill="1" applyBorder="1" applyAlignment="1" applyProtection="1">
      <alignment horizontal="left" vertical="center"/>
      <protection hidden="1"/>
    </xf>
    <xf numFmtId="0" fontId="21" fillId="9" borderId="1" xfId="0" applyFont="1" applyFill="1" applyBorder="1" applyAlignment="1">
      <alignment horizontal="center" vertical="center"/>
    </xf>
    <xf numFmtId="0" fontId="20" fillId="7" borderId="9" xfId="0" applyFont="1" applyFill="1" applyBorder="1" applyAlignment="1">
      <alignment horizontal="center" vertical="center"/>
    </xf>
    <xf numFmtId="0" fontId="0" fillId="0" borderId="0" xfId="0" applyProtection="1">
      <protection locked="0" hidden="1"/>
    </xf>
    <xf numFmtId="0" fontId="3" fillId="5" borderId="3" xfId="1" applyFont="1" applyFill="1" applyBorder="1" applyAlignment="1" applyProtection="1">
      <alignment horizontal="left" vertical="center"/>
      <protection hidden="1"/>
    </xf>
    <xf numFmtId="0" fontId="4" fillId="5" borderId="3" xfId="1" applyFont="1" applyFill="1" applyBorder="1" applyAlignment="1" applyProtection="1">
      <alignment horizontal="center"/>
      <protection hidden="1"/>
    </xf>
    <xf numFmtId="0" fontId="21" fillId="9" borderId="3" xfId="0" applyFont="1" applyFill="1" applyBorder="1" applyAlignment="1">
      <alignment horizontal="center" vertical="center"/>
    </xf>
    <xf numFmtId="0" fontId="20" fillId="7" borderId="46" xfId="0" applyFont="1" applyFill="1" applyBorder="1" applyAlignment="1">
      <alignment horizontal="center" vertical="center"/>
    </xf>
    <xf numFmtId="0" fontId="4" fillId="5" borderId="1" xfId="2" applyFont="1" applyFill="1" applyBorder="1" applyAlignment="1" applyProtection="1">
      <alignment horizontal="center" vertical="center"/>
      <protection hidden="1"/>
    </xf>
    <xf numFmtId="0" fontId="16" fillId="0" borderId="3" xfId="1" applyFont="1" applyFill="1" applyBorder="1" applyAlignment="1" applyProtection="1">
      <alignment horizontal="center" vertical="center"/>
      <protection locked="0" hidden="1"/>
    </xf>
    <xf numFmtId="0" fontId="16" fillId="5" borderId="1" xfId="2" applyFont="1" applyFill="1" applyBorder="1" applyAlignment="1" applyProtection="1">
      <alignment horizontal="center" vertical="center" wrapText="1"/>
      <protection hidden="1"/>
    </xf>
    <xf numFmtId="0" fontId="22" fillId="7" borderId="11" xfId="0" applyFont="1" applyFill="1" applyBorder="1" applyAlignment="1">
      <alignment horizontal="center" vertical="center"/>
    </xf>
    <xf numFmtId="0" fontId="22" fillId="7" borderId="12" xfId="0" applyFont="1" applyFill="1" applyBorder="1" applyAlignment="1">
      <alignment horizontal="center" vertical="center"/>
    </xf>
    <xf numFmtId="0" fontId="24" fillId="7" borderId="38" xfId="0" applyFont="1" applyFill="1" applyBorder="1" applyAlignment="1">
      <alignment horizontal="center" vertical="center"/>
    </xf>
    <xf numFmtId="0" fontId="24" fillId="7" borderId="39" xfId="0" applyFont="1" applyFill="1" applyBorder="1" applyAlignment="1">
      <alignment horizontal="center" vertical="center"/>
    </xf>
    <xf numFmtId="0" fontId="24" fillId="7" borderId="1" xfId="0" applyFont="1" applyFill="1" applyBorder="1" applyAlignment="1">
      <alignment horizontal="center" vertical="center"/>
    </xf>
    <xf numFmtId="0" fontId="24" fillId="7" borderId="9" xfId="0" applyFont="1" applyFill="1" applyBorder="1" applyAlignment="1">
      <alignment horizontal="center" vertical="center"/>
    </xf>
    <xf numFmtId="0" fontId="6" fillId="4" borderId="36" xfId="1" applyFont="1" applyFill="1" applyBorder="1" applyAlignment="1" applyProtection="1">
      <alignment horizontal="center" vertical="center"/>
      <protection hidden="1"/>
    </xf>
    <xf numFmtId="0" fontId="6" fillId="4" borderId="35" xfId="1" applyFont="1" applyFill="1" applyBorder="1" applyAlignment="1" applyProtection="1">
      <alignment horizontal="center" vertical="center"/>
      <protection hidden="1"/>
    </xf>
    <xf numFmtId="0" fontId="6" fillId="4" borderId="15" xfId="1" applyFont="1" applyFill="1" applyBorder="1" applyAlignment="1" applyProtection="1">
      <alignment horizontal="center" vertical="center"/>
      <protection hidden="1"/>
    </xf>
    <xf numFmtId="0" fontId="8" fillId="0" borderId="26" xfId="3" applyBorder="1" applyAlignment="1" applyProtection="1">
      <alignment horizontal="center" vertical="center"/>
      <protection hidden="1"/>
    </xf>
    <xf numFmtId="0" fontId="0" fillId="0" borderId="27" xfId="0" applyBorder="1" applyAlignment="1" applyProtection="1">
      <alignment horizontal="center" vertical="center"/>
      <protection hidden="1"/>
    </xf>
    <xf numFmtId="0" fontId="0" fillId="0" borderId="24" xfId="0" applyBorder="1" applyAlignment="1" applyProtection="1">
      <alignment horizontal="center" vertical="center"/>
      <protection hidden="1"/>
    </xf>
    <xf numFmtId="0" fontId="0" fillId="0" borderId="29" xfId="0" applyBorder="1" applyAlignment="1" applyProtection="1">
      <alignment horizontal="center" vertical="center"/>
      <protection hidden="1"/>
    </xf>
    <xf numFmtId="0" fontId="0" fillId="0" borderId="20" xfId="0" applyBorder="1" applyAlignment="1" applyProtection="1">
      <alignment horizontal="center" vertical="center"/>
      <protection hidden="1"/>
    </xf>
    <xf numFmtId="0" fontId="0" fillId="0" borderId="30" xfId="0" applyBorder="1" applyAlignment="1" applyProtection="1">
      <alignment horizontal="center" vertical="center"/>
      <protection hidden="1"/>
    </xf>
    <xf numFmtId="0" fontId="4" fillId="5" borderId="1" xfId="1" applyFont="1" applyFill="1" applyBorder="1" applyAlignment="1" applyProtection="1">
      <alignment horizontal="center"/>
      <protection hidden="1"/>
    </xf>
    <xf numFmtId="0" fontId="4" fillId="5" borderId="9" xfId="1" applyFont="1" applyFill="1" applyBorder="1" applyAlignment="1" applyProtection="1">
      <alignment horizontal="center"/>
      <protection hidden="1"/>
    </xf>
    <xf numFmtId="0" fontId="12" fillId="0" borderId="26" xfId="0" applyFont="1" applyBorder="1" applyAlignment="1" applyProtection="1">
      <alignment horizontal="left" vertical="center"/>
      <protection hidden="1"/>
    </xf>
    <xf numFmtId="0" fontId="9" fillId="0" borderId="27" xfId="0" applyFont="1" applyBorder="1" applyAlignment="1" applyProtection="1">
      <alignment horizontal="left" vertical="center"/>
      <protection hidden="1"/>
    </xf>
    <xf numFmtId="0" fontId="9" fillId="0" borderId="24" xfId="0" applyFont="1" applyBorder="1" applyAlignment="1" applyProtection="1">
      <alignment horizontal="left" vertical="center"/>
      <protection hidden="1"/>
    </xf>
    <xf numFmtId="0" fontId="9" fillId="0" borderId="28" xfId="0" applyFont="1" applyBorder="1" applyAlignment="1" applyProtection="1">
      <alignment horizontal="left" vertical="center"/>
      <protection hidden="1"/>
    </xf>
    <xf numFmtId="0" fontId="9" fillId="0" borderId="0" xfId="0" applyFont="1" applyAlignment="1" applyProtection="1">
      <alignment horizontal="left" vertical="center"/>
      <protection hidden="1"/>
    </xf>
    <xf numFmtId="0" fontId="9" fillId="0" borderId="25" xfId="0" applyFont="1" applyBorder="1" applyAlignment="1" applyProtection="1">
      <alignment horizontal="left" vertical="center"/>
      <protection hidden="1"/>
    </xf>
    <xf numFmtId="0" fontId="9" fillId="0" borderId="29" xfId="0" applyFont="1" applyBorder="1" applyAlignment="1" applyProtection="1">
      <alignment horizontal="left" vertical="center"/>
      <protection hidden="1"/>
    </xf>
    <xf numFmtId="0" fontId="9" fillId="0" borderId="20" xfId="0" applyFont="1" applyBorder="1" applyAlignment="1" applyProtection="1">
      <alignment horizontal="left" vertical="center"/>
      <protection hidden="1"/>
    </xf>
    <xf numFmtId="0" fontId="9" fillId="0" borderId="30" xfId="0" applyFont="1" applyBorder="1" applyAlignment="1" applyProtection="1">
      <alignment horizontal="left" vertical="center"/>
      <protection hidden="1"/>
    </xf>
    <xf numFmtId="0" fontId="6" fillId="4" borderId="21" xfId="1" applyFont="1" applyFill="1" applyBorder="1" applyAlignment="1" applyProtection="1">
      <alignment horizontal="center" vertical="center"/>
      <protection hidden="1"/>
    </xf>
    <xf numFmtId="0" fontId="6" fillId="4" borderId="22" xfId="1" applyFont="1" applyFill="1" applyBorder="1" applyAlignment="1" applyProtection="1">
      <alignment horizontal="center" vertical="center"/>
      <protection hidden="1"/>
    </xf>
    <xf numFmtId="0" fontId="6" fillId="4" borderId="23" xfId="1" applyFont="1" applyFill="1" applyBorder="1" applyAlignment="1" applyProtection="1">
      <alignment horizontal="center" vertical="center"/>
      <protection hidden="1"/>
    </xf>
    <xf numFmtId="0" fontId="5" fillId="4" borderId="5" xfId="1" applyFont="1" applyFill="1" applyBorder="1" applyAlignment="1" applyProtection="1">
      <alignment horizontal="center" vertical="center"/>
      <protection hidden="1"/>
    </xf>
    <xf numFmtId="0" fontId="5" fillId="4" borderId="6" xfId="1" applyFont="1" applyFill="1" applyBorder="1" applyAlignment="1" applyProtection="1">
      <alignment horizontal="center" vertical="center"/>
      <protection hidden="1"/>
    </xf>
    <xf numFmtId="0" fontId="5" fillId="4" borderId="7" xfId="1" applyFont="1" applyFill="1" applyBorder="1" applyAlignment="1" applyProtection="1">
      <alignment horizontal="center" vertical="center"/>
      <protection hidden="1"/>
    </xf>
    <xf numFmtId="0" fontId="1" fillId="4" borderId="13" xfId="1" applyFill="1" applyBorder="1" applyAlignment="1" applyProtection="1">
      <alignment horizontal="center"/>
      <protection hidden="1"/>
    </xf>
    <xf numFmtId="0" fontId="1" fillId="4" borderId="15" xfId="1" applyFill="1" applyBorder="1" applyAlignment="1" applyProtection="1">
      <alignment horizontal="center"/>
      <protection hidden="1"/>
    </xf>
    <xf numFmtId="0" fontId="16" fillId="5" borderId="4" xfId="2" applyFont="1" applyFill="1" applyBorder="1" applyAlignment="1" applyProtection="1">
      <alignment horizontal="center" vertical="center"/>
      <protection hidden="1"/>
    </xf>
    <xf numFmtId="0" fontId="16" fillId="5" borderId="14" xfId="2" applyFont="1" applyFill="1" applyBorder="1" applyAlignment="1" applyProtection="1">
      <alignment horizontal="center" vertical="center"/>
      <protection hidden="1"/>
    </xf>
    <xf numFmtId="1" fontId="17" fillId="5" borderId="16" xfId="0" applyNumberFormat="1" applyFont="1" applyFill="1" applyBorder="1" applyAlignment="1" applyProtection="1">
      <alignment horizontal="center" vertical="center"/>
      <protection hidden="1"/>
    </xf>
    <xf numFmtId="1" fontId="17" fillId="5" borderId="17" xfId="0" applyNumberFormat="1" applyFont="1" applyFill="1" applyBorder="1" applyAlignment="1" applyProtection="1">
      <alignment horizontal="center" vertical="center"/>
      <protection hidden="1"/>
    </xf>
    <xf numFmtId="0" fontId="0" fillId="0" borderId="1" xfId="0" applyBorder="1" applyAlignment="1">
      <alignment horizontal="center" vertical="center"/>
    </xf>
    <xf numFmtId="0" fontId="7" fillId="5" borderId="0" xfId="2" applyFont="1" applyFill="1" applyBorder="1" applyAlignment="1" applyProtection="1">
      <alignment horizontal="center" vertical="center"/>
      <protection hidden="1"/>
    </xf>
    <xf numFmtId="0" fontId="7" fillId="5" borderId="20" xfId="2" applyFont="1" applyFill="1" applyBorder="1" applyAlignment="1" applyProtection="1">
      <alignment horizontal="center" vertical="center"/>
      <protection hidden="1"/>
    </xf>
    <xf numFmtId="0" fontId="5" fillId="4" borderId="31" xfId="1" applyFont="1" applyFill="1" applyBorder="1" applyAlignment="1" applyProtection="1">
      <alignment horizontal="center" vertical="center"/>
      <protection hidden="1"/>
    </xf>
    <xf numFmtId="0" fontId="5" fillId="4" borderId="32" xfId="1" applyFont="1" applyFill="1" applyBorder="1" applyAlignment="1" applyProtection="1">
      <alignment horizontal="center" vertical="center"/>
      <protection hidden="1"/>
    </xf>
    <xf numFmtId="0" fontId="5" fillId="4" borderId="33" xfId="1" applyFont="1" applyFill="1" applyBorder="1" applyAlignment="1" applyProtection="1">
      <alignment horizontal="center" vertical="center"/>
      <protection hidden="1"/>
    </xf>
    <xf numFmtId="0" fontId="5" fillId="4" borderId="31" xfId="1" applyFont="1" applyFill="1" applyBorder="1" applyAlignment="1" applyProtection="1">
      <alignment horizontal="center" vertical="center" wrapText="1"/>
      <protection hidden="1"/>
    </xf>
    <xf numFmtId="0" fontId="5" fillId="4" borderId="32" xfId="1" applyFont="1" applyFill="1" applyBorder="1" applyAlignment="1" applyProtection="1">
      <alignment horizontal="center" vertical="center" wrapText="1"/>
      <protection hidden="1"/>
    </xf>
    <xf numFmtId="0" fontId="5" fillId="4" borderId="33" xfId="1" applyFont="1" applyFill="1" applyBorder="1" applyAlignment="1" applyProtection="1">
      <alignment horizontal="center" vertical="center" wrapText="1"/>
      <protection hidden="1"/>
    </xf>
    <xf numFmtId="0" fontId="16" fillId="5" borderId="1" xfId="2" applyFont="1" applyFill="1" applyBorder="1" applyAlignment="1" applyProtection="1">
      <alignment horizontal="center" vertical="center"/>
      <protection hidden="1"/>
    </xf>
    <xf numFmtId="0" fontId="16" fillId="5" borderId="9" xfId="2" applyFont="1" applyFill="1" applyBorder="1" applyAlignment="1" applyProtection="1">
      <alignment horizontal="center" vertical="center"/>
      <protection hidden="1"/>
    </xf>
    <xf numFmtId="0" fontId="4" fillId="5" borderId="11" xfId="1" applyFont="1" applyFill="1" applyBorder="1" applyAlignment="1" applyProtection="1">
      <alignment horizontal="center"/>
      <protection hidden="1"/>
    </xf>
    <xf numFmtId="0" fontId="4" fillId="5" borderId="12" xfId="1" applyFont="1" applyFill="1" applyBorder="1" applyAlignment="1" applyProtection="1">
      <alignment horizontal="center"/>
      <protection hidden="1"/>
    </xf>
    <xf numFmtId="0" fontId="5" fillId="4" borderId="5" xfId="1" applyFont="1" applyFill="1" applyBorder="1" applyAlignment="1" applyProtection="1">
      <alignment horizontal="center" vertical="center" wrapText="1"/>
      <protection hidden="1"/>
    </xf>
    <xf numFmtId="0" fontId="5" fillId="4" borderId="6" xfId="1" applyFont="1" applyFill="1" applyBorder="1" applyAlignment="1" applyProtection="1">
      <alignment horizontal="center" vertical="center" wrapText="1"/>
      <protection hidden="1"/>
    </xf>
    <xf numFmtId="0" fontId="5" fillId="4" borderId="7" xfId="1" applyFont="1" applyFill="1" applyBorder="1" applyAlignment="1" applyProtection="1">
      <alignment horizontal="center" vertical="center" wrapText="1"/>
      <protection hidden="1"/>
    </xf>
    <xf numFmtId="0" fontId="9" fillId="0" borderId="26" xfId="0" applyFont="1" applyBorder="1" applyAlignment="1" applyProtection="1">
      <alignment horizontal="left" vertical="center"/>
      <protection hidden="1"/>
    </xf>
    <xf numFmtId="1" fontId="4" fillId="5" borderId="16" xfId="0" applyNumberFormat="1" applyFont="1" applyFill="1" applyBorder="1" applyAlignment="1" applyProtection="1">
      <alignment horizontal="center" vertical="center"/>
      <protection hidden="1"/>
    </xf>
    <xf numFmtId="1" fontId="4" fillId="5" borderId="17" xfId="0" applyNumberFormat="1" applyFont="1" applyFill="1" applyBorder="1" applyAlignment="1" applyProtection="1">
      <alignment horizontal="center" vertical="center"/>
      <protection hidden="1"/>
    </xf>
    <xf numFmtId="0" fontId="20" fillId="4" borderId="41" xfId="1" applyFont="1" applyFill="1" applyBorder="1" applyAlignment="1" applyProtection="1">
      <alignment horizontal="center" vertical="center" wrapText="1"/>
      <protection hidden="1"/>
    </xf>
    <xf numFmtId="0" fontId="20" fillId="4" borderId="42" xfId="1" applyFont="1" applyFill="1" applyBorder="1" applyAlignment="1" applyProtection="1">
      <alignment horizontal="center" vertical="center" wrapText="1"/>
      <protection hidden="1"/>
    </xf>
    <xf numFmtId="2" fontId="16" fillId="8" borderId="38" xfId="0" applyNumberFormat="1" applyFont="1" applyFill="1" applyBorder="1" applyAlignment="1" applyProtection="1">
      <alignment horizontal="center" vertical="center"/>
      <protection hidden="1"/>
    </xf>
    <xf numFmtId="2" fontId="16" fillId="8" borderId="39" xfId="0" applyNumberFormat="1" applyFont="1" applyFill="1" applyBorder="1" applyAlignment="1" applyProtection="1">
      <alignment horizontal="center" vertical="center"/>
      <protection hidden="1"/>
    </xf>
    <xf numFmtId="0" fontId="23" fillId="8" borderId="16" xfId="0" applyFont="1" applyFill="1" applyBorder="1" applyAlignment="1">
      <alignment horizontal="center" vertical="center" wrapText="1"/>
    </xf>
    <xf numFmtId="0" fontId="23" fillId="8" borderId="17" xfId="0" applyFont="1" applyFill="1" applyBorder="1" applyAlignment="1">
      <alignment horizontal="center" vertical="center" wrapText="1"/>
    </xf>
    <xf numFmtId="0" fontId="1" fillId="4" borderId="35" xfId="1" applyFill="1" applyBorder="1" applyAlignment="1" applyProtection="1">
      <alignment horizontal="center"/>
      <protection hidden="1"/>
    </xf>
    <xf numFmtId="0" fontId="4" fillId="5" borderId="4" xfId="2" applyFont="1" applyFill="1" applyBorder="1" applyAlignment="1" applyProtection="1">
      <alignment horizontal="center" vertical="center"/>
      <protection hidden="1"/>
    </xf>
    <xf numFmtId="0" fontId="4" fillId="5" borderId="14" xfId="2" applyFont="1" applyFill="1" applyBorder="1" applyAlignment="1" applyProtection="1">
      <alignment horizontal="center" vertical="center"/>
      <protection hidden="1"/>
    </xf>
    <xf numFmtId="1" fontId="4" fillId="5" borderId="4" xfId="0" applyNumberFormat="1" applyFont="1" applyFill="1" applyBorder="1" applyAlignment="1" applyProtection="1">
      <alignment horizontal="center" vertical="center"/>
      <protection hidden="1"/>
    </xf>
    <xf numFmtId="1" fontId="4" fillId="5" borderId="14" xfId="0" applyNumberFormat="1" applyFont="1" applyFill="1" applyBorder="1" applyAlignment="1" applyProtection="1">
      <alignment horizontal="center" vertical="center"/>
      <protection hidden="1"/>
    </xf>
    <xf numFmtId="0" fontId="26" fillId="0" borderId="43" xfId="0" applyFont="1" applyBorder="1" applyAlignment="1">
      <alignment horizontal="center" vertical="center" wrapText="1"/>
    </xf>
    <xf numFmtId="0" fontId="26" fillId="0" borderId="44" xfId="0" applyFont="1" applyBorder="1" applyAlignment="1">
      <alignment horizontal="center" vertical="center" wrapText="1"/>
    </xf>
    <xf numFmtId="0" fontId="6" fillId="4" borderId="28" xfId="1" applyFont="1" applyFill="1" applyBorder="1" applyAlignment="1" applyProtection="1">
      <alignment horizontal="center" vertical="center"/>
      <protection hidden="1"/>
    </xf>
    <xf numFmtId="0" fontId="5" fillId="4" borderId="38" xfId="1" applyFont="1" applyFill="1" applyBorder="1" applyAlignment="1" applyProtection="1">
      <alignment horizontal="center" vertical="center" wrapText="1"/>
      <protection hidden="1"/>
    </xf>
    <xf numFmtId="0" fontId="5" fillId="4" borderId="39" xfId="1" applyFont="1" applyFill="1" applyBorder="1" applyAlignment="1" applyProtection="1">
      <alignment horizontal="center" vertical="center" wrapText="1"/>
      <protection hidden="1"/>
    </xf>
    <xf numFmtId="0" fontId="6" fillId="4" borderId="45" xfId="1" applyFont="1" applyFill="1" applyBorder="1" applyAlignment="1" applyProtection="1">
      <alignment horizontal="center" vertical="center"/>
      <protection hidden="1"/>
    </xf>
    <xf numFmtId="0" fontId="6" fillId="4" borderId="8" xfId="1" applyFont="1" applyFill="1" applyBorder="1" applyAlignment="1" applyProtection="1">
      <alignment horizontal="center" vertical="center"/>
      <protection hidden="1"/>
    </xf>
    <xf numFmtId="0" fontId="6" fillId="4" borderId="13" xfId="1" applyFont="1" applyFill="1" applyBorder="1" applyAlignment="1" applyProtection="1">
      <alignment horizontal="center" vertical="center"/>
      <protection hidden="1"/>
    </xf>
    <xf numFmtId="0" fontId="5" fillId="4" borderId="38" xfId="1" applyFont="1" applyFill="1" applyBorder="1" applyAlignment="1" applyProtection="1">
      <alignment horizontal="center" vertical="center"/>
      <protection hidden="1"/>
    </xf>
    <xf numFmtId="0" fontId="5" fillId="4" borderId="39" xfId="1" applyFont="1" applyFill="1" applyBorder="1" applyAlignment="1" applyProtection="1">
      <alignment horizontal="center" vertical="center"/>
      <protection hidden="1"/>
    </xf>
    <xf numFmtId="0" fontId="1" fillId="4" borderId="1" xfId="1" applyFill="1" applyBorder="1" applyAlignment="1" applyProtection="1">
      <alignment horizontal="center"/>
      <protection hidden="1"/>
    </xf>
    <xf numFmtId="0" fontId="1" fillId="4" borderId="3" xfId="1" applyFill="1" applyBorder="1" applyAlignment="1" applyProtection="1">
      <alignment horizontal="center"/>
      <protection hidden="1"/>
    </xf>
    <xf numFmtId="0" fontId="3" fillId="5" borderId="1" xfId="2" applyFont="1" applyFill="1" applyBorder="1" applyAlignment="1" applyProtection="1">
      <alignment horizontal="center" vertical="center"/>
      <protection hidden="1"/>
    </xf>
    <xf numFmtId="0" fontId="3" fillId="5" borderId="9" xfId="2" applyFont="1" applyFill="1" applyBorder="1" applyAlignment="1" applyProtection="1">
      <alignment horizontal="center" vertical="center"/>
      <protection hidden="1"/>
    </xf>
    <xf numFmtId="0" fontId="3" fillId="5" borderId="3" xfId="2" applyFont="1" applyFill="1" applyBorder="1" applyAlignment="1" applyProtection="1">
      <alignment horizontal="center" vertical="center"/>
      <protection hidden="1"/>
    </xf>
    <xf numFmtId="0" fontId="3" fillId="5" borderId="46" xfId="2" applyFont="1" applyFill="1" applyBorder="1" applyAlignment="1" applyProtection="1">
      <alignment horizontal="center" vertical="center"/>
      <protection hidden="1"/>
    </xf>
    <xf numFmtId="1" fontId="4" fillId="5" borderId="3" xfId="0" applyNumberFormat="1" applyFont="1" applyFill="1" applyBorder="1" applyAlignment="1" applyProtection="1">
      <alignment horizontal="center" vertical="center"/>
      <protection hidden="1"/>
    </xf>
    <xf numFmtId="0" fontId="7" fillId="5" borderId="1" xfId="2" applyFont="1" applyFill="1" applyBorder="1" applyAlignment="1" applyProtection="1">
      <alignment horizontal="center" vertical="center"/>
      <protection hidden="1"/>
    </xf>
    <xf numFmtId="0" fontId="7" fillId="5" borderId="3" xfId="2" applyFont="1" applyFill="1" applyBorder="1" applyAlignment="1" applyProtection="1">
      <alignment horizontal="center" vertical="center"/>
      <protection hidden="1"/>
    </xf>
    <xf numFmtId="0" fontId="0" fillId="5" borderId="1" xfId="0" applyFill="1" applyBorder="1" applyAlignment="1">
      <alignment horizontal="center" vertical="center" wrapText="1"/>
    </xf>
    <xf numFmtId="0" fontId="0" fillId="5" borderId="9" xfId="0" applyFill="1" applyBorder="1" applyAlignment="1">
      <alignment horizontal="center" vertical="center" wrapText="1"/>
    </xf>
    <xf numFmtId="0" fontId="0" fillId="5" borderId="3" xfId="0" applyFill="1" applyBorder="1" applyAlignment="1">
      <alignment horizontal="center" vertical="center" wrapText="1"/>
    </xf>
    <xf numFmtId="0" fontId="0" fillId="5" borderId="46" xfId="0" applyFill="1" applyBorder="1" applyAlignment="1">
      <alignment horizontal="center" vertical="center" wrapText="1"/>
    </xf>
    <xf numFmtId="0" fontId="31" fillId="0" borderId="27" xfId="0" applyFont="1" applyBorder="1" applyAlignment="1">
      <alignment horizontal="left" wrapText="1"/>
    </xf>
    <xf numFmtId="0" fontId="0" fillId="0" borderId="27" xfId="0" applyBorder="1" applyAlignment="1">
      <alignment horizontal="left" wrapText="1"/>
    </xf>
    <xf numFmtId="0" fontId="4" fillId="5" borderId="3" xfId="1" applyFont="1" applyFill="1" applyBorder="1" applyAlignment="1" applyProtection="1">
      <alignment horizontal="center"/>
      <protection hidden="1"/>
    </xf>
    <xf numFmtId="0" fontId="29" fillId="10" borderId="47" xfId="1" applyFont="1" applyFill="1" applyBorder="1" applyAlignment="1" applyProtection="1">
      <alignment horizontal="center" vertical="center" wrapText="1"/>
      <protection hidden="1"/>
    </xf>
    <xf numFmtId="0" fontId="5" fillId="10" borderId="34" xfId="1" applyFont="1" applyFill="1" applyBorder="1" applyAlignment="1" applyProtection="1">
      <alignment horizontal="center" vertical="center" wrapText="1"/>
      <protection hidden="1"/>
    </xf>
    <xf numFmtId="0" fontId="29" fillId="10" borderId="48" xfId="1" applyFont="1" applyFill="1" applyBorder="1" applyAlignment="1" applyProtection="1">
      <alignment horizontal="center" vertical="center" wrapText="1"/>
      <protection hidden="1"/>
    </xf>
    <xf numFmtId="0" fontId="3" fillId="5" borderId="47" xfId="1" applyFont="1" applyFill="1" applyBorder="1" applyAlignment="1" applyProtection="1">
      <alignment horizontal="center" vertical="center"/>
      <protection hidden="1"/>
    </xf>
    <xf numFmtId="0" fontId="3" fillId="5" borderId="34" xfId="1" applyFont="1" applyFill="1" applyBorder="1" applyAlignment="1" applyProtection="1">
      <alignment horizontal="center" vertical="center"/>
      <protection hidden="1"/>
    </xf>
    <xf numFmtId="0" fontId="3" fillId="5" borderId="16" xfId="1" applyFont="1" applyFill="1" applyBorder="1" applyAlignment="1" applyProtection="1">
      <alignment horizontal="center" vertical="center"/>
      <protection hidden="1"/>
    </xf>
    <xf numFmtId="0" fontId="3" fillId="5" borderId="49" xfId="1" applyFont="1" applyFill="1" applyBorder="1" applyAlignment="1" applyProtection="1">
      <alignment horizontal="center" vertical="center"/>
      <protection hidden="1"/>
    </xf>
    <xf numFmtId="0" fontId="8" fillId="0" borderId="28" xfId="3" applyBorder="1" applyAlignment="1" applyProtection="1">
      <alignment horizontal="center" vertical="center"/>
      <protection hidden="1"/>
    </xf>
    <xf numFmtId="0" fontId="8" fillId="0" borderId="0" xfId="3" applyBorder="1" applyAlignment="1" applyProtection="1">
      <alignment horizontal="center" vertical="center"/>
      <protection hidden="1"/>
    </xf>
    <xf numFmtId="0" fontId="8" fillId="0" borderId="25" xfId="3" applyBorder="1" applyAlignment="1" applyProtection="1">
      <alignment horizontal="center" vertical="center"/>
      <protection hidden="1"/>
    </xf>
    <xf numFmtId="0" fontId="8" fillId="0" borderId="29" xfId="3" applyBorder="1" applyAlignment="1" applyProtection="1">
      <alignment horizontal="center" vertical="center"/>
      <protection hidden="1"/>
    </xf>
    <xf numFmtId="0" fontId="8" fillId="0" borderId="20" xfId="3" applyBorder="1" applyAlignment="1" applyProtection="1">
      <alignment horizontal="center" vertical="center"/>
      <protection hidden="1"/>
    </xf>
    <xf numFmtId="0" fontId="8" fillId="0" borderId="30" xfId="3" applyBorder="1" applyAlignment="1" applyProtection="1">
      <alignment horizontal="center" vertical="center"/>
      <protection hidden="1"/>
    </xf>
    <xf numFmtId="0" fontId="21" fillId="10" borderId="47" xfId="0" applyFont="1" applyFill="1" applyBorder="1" applyAlignment="1">
      <alignment horizontal="center" vertical="center"/>
    </xf>
    <xf numFmtId="0" fontId="21" fillId="10" borderId="48" xfId="0" applyFont="1" applyFill="1" applyBorder="1" applyAlignment="1">
      <alignment horizontal="center" vertical="center"/>
    </xf>
    <xf numFmtId="0" fontId="21" fillId="10" borderId="16" xfId="0" applyFont="1" applyFill="1" applyBorder="1" applyAlignment="1">
      <alignment horizontal="center" vertical="center"/>
    </xf>
    <xf numFmtId="0" fontId="21" fillId="10" borderId="17" xfId="0" applyFont="1" applyFill="1" applyBorder="1" applyAlignment="1">
      <alignment horizontal="center" vertical="center"/>
    </xf>
    <xf numFmtId="0" fontId="0" fillId="0" borderId="0" xfId="0" applyAlignment="1">
      <alignment wrapText="1"/>
    </xf>
  </cellXfs>
  <cellStyles count="4">
    <cellStyle name="Καλό" xfId="1" builtinId="26"/>
    <cellStyle name="Κανονικό" xfId="0" builtinId="0"/>
    <cellStyle name="Ουδέτερο" xfId="2" builtinId="28"/>
    <cellStyle name="Υπερ-σύνδεση" xfId="3" builtinId="8"/>
  </cellStyles>
  <dxfs count="0"/>
  <tableStyles count="0" defaultTableStyle="TableStyleMedium2" defaultPivotStyle="PivotStyleLight16"/>
  <colors>
    <mruColors>
      <color rgb="FF4D4D4D"/>
      <color rgb="FFC61C34"/>
      <color rgb="FFDD4109"/>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customXml" Target="../customXml/item4.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ctrlProps/ctrlProp1.xml><?xml version="1.0" encoding="utf-8"?>
<formControlPr xmlns="http://schemas.microsoft.com/office/spreadsheetml/2009/9/main" objectType="Drop" dropLines="10" dropStyle="combo" dx="26" fmlaLink="$J$1" fmlaRange="$G$8:$G$16" sel="7" val="0"/>
</file>

<file path=xl/ctrlProps/ctrlProp2.xml><?xml version="1.0" encoding="utf-8"?>
<formControlPr xmlns="http://schemas.microsoft.com/office/spreadsheetml/2009/9/main" objectType="Drop" dropLines="10" dropStyle="combo" dx="26" fmlaLink="$J$24" fmlaRange="$G$31:$G$39" sel="1" val="0"/>
</file>

<file path=xl/ctrlProps/ctrlProp3.xml><?xml version="1.0" encoding="utf-8"?>
<formControlPr xmlns="http://schemas.microsoft.com/office/spreadsheetml/2009/9/main" objectType="Drop" dropLines="10" dropStyle="combo" dx="26" fmlaLink="$J$1" fmlaRange="$G$8:$G$16" sel="5" val="0"/>
</file>

<file path=xl/ctrlProps/ctrlProp4.xml><?xml version="1.0" encoding="utf-8"?>
<formControlPr xmlns="http://schemas.microsoft.com/office/spreadsheetml/2009/9/main" objectType="Drop" dropLines="10" dropStyle="combo" dx="26" fmlaLink="$J$1" fmlaRange="$G$8:$G$16" sel="7" val="0"/>
</file>

<file path=xl/ctrlProps/ctrlProp5.xml><?xml version="1.0" encoding="utf-8"?>
<formControlPr xmlns="http://schemas.microsoft.com/office/spreadsheetml/2009/9/main" objectType="Drop" dropLines="10" dropStyle="combo" dx="26" fmlaLink="$J$1" fmlaRange="$G$8:$G$16" sel="1" val="0"/>
</file>

<file path=xl/ctrlProps/ctrlProp6.xml><?xml version="1.0" encoding="utf-8"?>
<formControlPr xmlns="http://schemas.microsoft.com/office/spreadsheetml/2009/9/main" objectType="Drop" dropLines="10" dropStyle="combo" dx="26" fmlaLink="$J$26" fmlaRange="$G$33:$G$39" sel="6" val="0"/>
</file>

<file path=xl/ctrlProps/ctrlProp7.xml><?xml version="1.0" encoding="utf-8"?>
<formControlPr xmlns="http://schemas.microsoft.com/office/spreadsheetml/2009/9/main" objectType="Drop" dropLines="10" dropStyle="combo" dx="26" fmlaLink="$K$1" fmlaRange="$H$8:$H$16" sel="4" val="0"/>
</file>

<file path=xl/ctrlProps/ctrlProp8.xml><?xml version="1.0" encoding="utf-8"?>
<formControlPr xmlns="http://schemas.microsoft.com/office/spreadsheetml/2009/9/main" objectType="Drop" dropLines="10" dropStyle="combo" dx="26" fmlaLink="$L$1" fmlaRange="$I$8:$I$16" sel="2" val="0"/>
</file>

<file path=xl/ctrlProps/ctrlProp9.xml><?xml version="1.0" encoding="utf-8"?>
<formControlPr xmlns="http://schemas.microsoft.com/office/spreadsheetml/2009/9/main" objectType="Drop" dropLines="10" dropStyle="combo" dx="26" fmlaLink="$L$1" fmlaRange="$I$8:$I$16" sel="1" val="0"/>
</file>

<file path=xl/drawings/_rels/drawing1.xml.rels><?xml version="1.0" encoding="UTF-8" standalone="yes"?>
<Relationships xmlns="http://schemas.openxmlformats.org/package/2006/relationships"><Relationship Id="rId1" Type="http://schemas.openxmlformats.org/officeDocument/2006/relationships/image" Target="../media/image2.tiff"/></Relationships>
</file>

<file path=xl/drawings/_rels/drawing2.xml.rels><?xml version="1.0" encoding="UTF-8" standalone="yes"?>
<Relationships xmlns="http://schemas.openxmlformats.org/package/2006/relationships"><Relationship Id="rId1" Type="http://schemas.openxmlformats.org/officeDocument/2006/relationships/image" Target="../media/image2.tiff"/></Relationships>
</file>

<file path=xl/drawings/_rels/drawing3.xml.rels><?xml version="1.0" encoding="UTF-8" standalone="yes"?>
<Relationships xmlns="http://schemas.openxmlformats.org/package/2006/relationships"><Relationship Id="rId1" Type="http://schemas.openxmlformats.org/officeDocument/2006/relationships/image" Target="../media/image3.tiff"/></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5.jpeg"/></Relationships>
</file>

<file path=xl/drawings/_rels/drawing6.xml.rels><?xml version="1.0" encoding="UTF-8" standalone="yes"?>
<Relationships xmlns="http://schemas.openxmlformats.org/package/2006/relationships"><Relationship Id="rId1" Type="http://schemas.openxmlformats.org/officeDocument/2006/relationships/image" Target="../media/image6.png"/></Relationships>
</file>

<file path=xl/drawings/_rels/drawing7.xml.rels><?xml version="1.0" encoding="UTF-8" standalone="yes"?>
<Relationships xmlns="http://schemas.openxmlformats.org/package/2006/relationships"><Relationship Id="rId1" Type="http://schemas.openxmlformats.org/officeDocument/2006/relationships/image" Target="../media/image6.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4.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5.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6.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7.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2</xdr:col>
      <xdr:colOff>1452671</xdr:colOff>
      <xdr:row>0</xdr:row>
      <xdr:rowOff>81057</xdr:rowOff>
    </xdr:from>
    <xdr:to>
      <xdr:col>4</xdr:col>
      <xdr:colOff>545448</xdr:colOff>
      <xdr:row>6</xdr:row>
      <xdr:rowOff>117073</xdr:rowOff>
    </xdr:to>
    <xdr:pic>
      <xdr:nvPicPr>
        <xdr:cNvPr id="3" name="Рисунок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983836" y="81057"/>
          <a:ext cx="2821608" cy="1944329"/>
        </a:xfrm>
        <a:prstGeom prst="rect">
          <a:avLst/>
        </a:prstGeom>
        <a:solidFill>
          <a:srgbClr val="FF0000"/>
        </a:solidFill>
        <a:effectLst>
          <a:glow rad="127000">
            <a:srgbClr val="C61C34">
              <a:alpha val="60000"/>
            </a:srgbClr>
          </a:glow>
        </a:effectLst>
      </xdr:spPr>
    </xdr:pic>
    <xdr:clientData/>
  </xdr:twoCellAnchor>
  <xdr:oneCellAnchor>
    <xdr:from>
      <xdr:col>1</xdr:col>
      <xdr:colOff>28777</xdr:colOff>
      <xdr:row>3</xdr:row>
      <xdr:rowOff>83637</xdr:rowOff>
    </xdr:from>
    <xdr:ext cx="3286798" cy="433452"/>
    <xdr:sp macro="" textlink="">
      <xdr:nvSpPr>
        <xdr:cNvPr id="5" name="Прямоугольник 4">
          <a:extLst>
            <a:ext uri="{FF2B5EF4-FFF2-40B4-BE49-F238E27FC236}">
              <a16:creationId xmlns:a16="http://schemas.microsoft.com/office/drawing/2014/main" id="{00000000-0008-0000-0000-000005000000}"/>
            </a:ext>
          </a:extLst>
        </xdr:cNvPr>
        <xdr:cNvSpPr/>
      </xdr:nvSpPr>
      <xdr:spPr>
        <a:xfrm>
          <a:off x="326951" y="1226637"/>
          <a:ext cx="3286798" cy="433452"/>
        </a:xfrm>
        <a:prstGeom prst="rect">
          <a:avLst/>
        </a:prstGeom>
        <a:noFill/>
      </xdr:spPr>
      <xdr:txBody>
        <a:bodyPr wrap="none" lIns="91440" tIns="45720" rIns="91440" bIns="45720">
          <a:spAutoFit/>
        </a:bodyPr>
        <a:lstStyle/>
        <a:p>
          <a:pPr algn="ctr"/>
          <a:r>
            <a:rPr lang="el-GR"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Ύψος πόρτας =</a:t>
          </a:r>
          <a:r>
            <a:rPr lang="en-US"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250-600</a:t>
          </a:r>
          <a:r>
            <a:rPr lang="ru-RU"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мм</a:t>
          </a:r>
        </a:p>
      </xdr:txBody>
    </xdr:sp>
    <xdr:clientData/>
  </xdr:oneCellAnchor>
  <xdr:oneCellAnchor>
    <xdr:from>
      <xdr:col>2</xdr:col>
      <xdr:colOff>1406289</xdr:colOff>
      <xdr:row>26</xdr:row>
      <xdr:rowOff>81057</xdr:rowOff>
    </xdr:from>
    <xdr:ext cx="2889622" cy="1933545"/>
    <xdr:pic>
      <xdr:nvPicPr>
        <xdr:cNvPr id="6" name="Рисунок 5">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937454" y="8582327"/>
          <a:ext cx="2889622" cy="1933545"/>
        </a:xfrm>
        <a:prstGeom prst="rect">
          <a:avLst/>
        </a:prstGeom>
        <a:solidFill>
          <a:srgbClr val="FF0000"/>
        </a:solidFill>
        <a:effectLst>
          <a:glow rad="127000">
            <a:srgbClr val="C61C34">
              <a:alpha val="60000"/>
            </a:srgbClr>
          </a:glow>
        </a:effectLst>
      </xdr:spPr>
    </xdr:pic>
    <xdr:clientData/>
  </xdr:oneCellAnchor>
  <xdr:oneCellAnchor>
    <xdr:from>
      <xdr:col>1</xdr:col>
      <xdr:colOff>251074</xdr:colOff>
      <xdr:row>30</xdr:row>
      <xdr:rowOff>21350</xdr:rowOff>
    </xdr:from>
    <xdr:ext cx="2913426" cy="399405"/>
    <xdr:sp macro="" textlink="">
      <xdr:nvSpPr>
        <xdr:cNvPr id="8" name="Прямоугольник 7">
          <a:extLst>
            <a:ext uri="{FF2B5EF4-FFF2-40B4-BE49-F238E27FC236}">
              <a16:creationId xmlns:a16="http://schemas.microsoft.com/office/drawing/2014/main" id="{00000000-0008-0000-0000-000008000000}"/>
            </a:ext>
          </a:extLst>
        </xdr:cNvPr>
        <xdr:cNvSpPr/>
      </xdr:nvSpPr>
      <xdr:spPr>
        <a:xfrm>
          <a:off x="549248" y="9728567"/>
          <a:ext cx="2913426" cy="399405"/>
        </a:xfrm>
        <a:prstGeom prst="rect">
          <a:avLst/>
        </a:prstGeom>
        <a:noFill/>
      </xdr:spPr>
      <xdr:txBody>
        <a:bodyPr wrap="none" lIns="91440" tIns="45720" rIns="91440" bIns="45720">
          <a:spAutoFit/>
        </a:bodyPr>
        <a:lstStyle/>
        <a:p>
          <a:pPr algn="ctr"/>
          <a:r>
            <a:rPr lang="el-GR" sz="18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Ύψος πόρτας</a:t>
          </a:r>
          <a:r>
            <a:rPr lang="en-US" sz="18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=250-600</a:t>
          </a:r>
          <a:r>
            <a:rPr lang="ru-RU" sz="18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мм</a:t>
          </a:r>
        </a:p>
      </xdr:txBody>
    </xdr:sp>
    <xdr:clientData/>
  </xdr:oneCellAnchor>
  <mc:AlternateContent xmlns:mc="http://schemas.openxmlformats.org/markup-compatibility/2006">
    <mc:Choice xmlns:a14="http://schemas.microsoft.com/office/drawing/2010/main" Requires="a14">
      <xdr:twoCellAnchor editAs="absolute">
        <xdr:from>
          <xdr:col>1</xdr:col>
          <xdr:colOff>47625</xdr:colOff>
          <xdr:row>11</xdr:row>
          <xdr:rowOff>76200</xdr:rowOff>
        </xdr:from>
        <xdr:to>
          <xdr:col>1</xdr:col>
          <xdr:colOff>2152650</xdr:colOff>
          <xdr:row>12</xdr:row>
          <xdr:rowOff>295275</xdr:rowOff>
        </xdr:to>
        <xdr:sp macro="" textlink="">
          <xdr:nvSpPr>
            <xdr:cNvPr id="7169" name="Drop Down 1" hidden="1">
              <a:extLst>
                <a:ext uri="{63B3BB69-23CF-44E3-9099-C40C66FF867C}">
                  <a14:compatExt spid="_x0000_s7169"/>
                </a:ext>
                <a:ext uri="{FF2B5EF4-FFF2-40B4-BE49-F238E27FC236}">
                  <a16:creationId xmlns:a16="http://schemas.microsoft.com/office/drawing/2014/main" id="{00000000-0008-0000-0000-0000011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152400</xdr:colOff>
          <xdr:row>0</xdr:row>
          <xdr:rowOff>161925</xdr:rowOff>
        </xdr:from>
        <xdr:to>
          <xdr:col>1</xdr:col>
          <xdr:colOff>1638300</xdr:colOff>
          <xdr:row>2</xdr:row>
          <xdr:rowOff>19050</xdr:rowOff>
        </xdr:to>
        <xdr:sp macro="" textlink="">
          <xdr:nvSpPr>
            <xdr:cNvPr id="7170" name="Object 2" hidden="1">
              <a:extLst>
                <a:ext uri="{63B3BB69-23CF-44E3-9099-C40C66FF867C}">
                  <a14:compatExt spid="_x0000_s7170"/>
                </a:ext>
                <a:ext uri="{FF2B5EF4-FFF2-40B4-BE49-F238E27FC236}">
                  <a16:creationId xmlns:a16="http://schemas.microsoft.com/office/drawing/2014/main" id="{00000000-0008-0000-0000-00000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152400</xdr:colOff>
          <xdr:row>26</xdr:row>
          <xdr:rowOff>161925</xdr:rowOff>
        </xdr:from>
        <xdr:to>
          <xdr:col>1</xdr:col>
          <xdr:colOff>1638300</xdr:colOff>
          <xdr:row>28</xdr:row>
          <xdr:rowOff>9525</xdr:rowOff>
        </xdr:to>
        <xdr:sp macro="" textlink="">
          <xdr:nvSpPr>
            <xdr:cNvPr id="7171" name="Object 3" hidden="1">
              <a:extLst>
                <a:ext uri="{63B3BB69-23CF-44E3-9099-C40C66FF867C}">
                  <a14:compatExt spid="_x0000_s7171"/>
                </a:ext>
                <a:ext uri="{FF2B5EF4-FFF2-40B4-BE49-F238E27FC236}">
                  <a16:creationId xmlns:a16="http://schemas.microsoft.com/office/drawing/2014/main" id="{00000000-0008-0000-0000-00000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1</xdr:col>
          <xdr:colOff>95250</xdr:colOff>
          <xdr:row>34</xdr:row>
          <xdr:rowOff>323850</xdr:rowOff>
        </xdr:from>
        <xdr:to>
          <xdr:col>1</xdr:col>
          <xdr:colOff>2152650</xdr:colOff>
          <xdr:row>35</xdr:row>
          <xdr:rowOff>438150</xdr:rowOff>
        </xdr:to>
        <xdr:sp macro="" textlink="">
          <xdr:nvSpPr>
            <xdr:cNvPr id="7172" name="Drop Down 4" hidden="1">
              <a:extLst>
                <a:ext uri="{63B3BB69-23CF-44E3-9099-C40C66FF867C}">
                  <a14:compatExt spid="_x0000_s7172"/>
                </a:ext>
                <a:ext uri="{FF2B5EF4-FFF2-40B4-BE49-F238E27FC236}">
                  <a16:creationId xmlns:a16="http://schemas.microsoft.com/office/drawing/2014/main" id="{00000000-0008-0000-0000-0000041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2</xdr:col>
      <xdr:colOff>1326777</xdr:colOff>
      <xdr:row>0</xdr:row>
      <xdr:rowOff>81057</xdr:rowOff>
    </xdr:from>
    <xdr:to>
      <xdr:col>4</xdr:col>
      <xdr:colOff>1504576</xdr:colOff>
      <xdr:row>6</xdr:row>
      <xdr:rowOff>117073</xdr:rowOff>
    </xdr:to>
    <xdr:pic>
      <xdr:nvPicPr>
        <xdr:cNvPr id="2" name="Рисунок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792071" y="81057"/>
          <a:ext cx="2755152" cy="1918604"/>
        </a:xfrm>
        <a:prstGeom prst="rect">
          <a:avLst/>
        </a:prstGeom>
        <a:solidFill>
          <a:srgbClr val="FF0000"/>
        </a:solidFill>
        <a:effectLst>
          <a:glow rad="127000">
            <a:srgbClr val="C61C34">
              <a:alpha val="60000"/>
            </a:srgbClr>
          </a:glow>
        </a:effectLst>
      </xdr:spPr>
    </xdr:pic>
    <xdr:clientData/>
  </xdr:twoCellAnchor>
  <xdr:oneCellAnchor>
    <xdr:from>
      <xdr:col>0</xdr:col>
      <xdr:colOff>272835</xdr:colOff>
      <xdr:row>3</xdr:row>
      <xdr:rowOff>83637</xdr:rowOff>
    </xdr:from>
    <xdr:ext cx="3431965" cy="433452"/>
    <xdr:sp macro="" textlink="">
      <xdr:nvSpPr>
        <xdr:cNvPr id="13" name="Прямоугольник 12">
          <a:extLst>
            <a:ext uri="{FF2B5EF4-FFF2-40B4-BE49-F238E27FC236}">
              <a16:creationId xmlns:a16="http://schemas.microsoft.com/office/drawing/2014/main" id="{00000000-0008-0000-0100-00000D000000}"/>
            </a:ext>
          </a:extLst>
        </xdr:cNvPr>
        <xdr:cNvSpPr/>
      </xdr:nvSpPr>
      <xdr:spPr>
        <a:xfrm>
          <a:off x="272835" y="1226637"/>
          <a:ext cx="3431965" cy="433452"/>
        </a:xfrm>
        <a:prstGeom prst="rect">
          <a:avLst/>
        </a:prstGeom>
        <a:noFill/>
      </xdr:spPr>
      <xdr:txBody>
        <a:bodyPr wrap="none" lIns="91440" tIns="45720" rIns="91440" bIns="45720">
          <a:spAutoFit/>
        </a:bodyPr>
        <a:lstStyle/>
        <a:p>
          <a:pPr algn="ctr"/>
          <a:r>
            <a:rPr lang="el-GR"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Ύψος πόρτας </a:t>
          </a:r>
          <a:r>
            <a:rPr lang="en-US"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h=250-</a:t>
          </a:r>
          <a:r>
            <a:rPr lang="ru-RU"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5</a:t>
          </a:r>
          <a:r>
            <a:rPr lang="en-US"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00</a:t>
          </a:r>
          <a:r>
            <a:rPr lang="ru-RU"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мм</a:t>
          </a:r>
        </a:p>
      </xdr:txBody>
    </xdr:sp>
    <xdr:clientData/>
  </xdr:oneCellAnchor>
  <mc:AlternateContent xmlns:mc="http://schemas.openxmlformats.org/markup-compatibility/2006">
    <mc:Choice xmlns:a14="http://schemas.microsoft.com/office/drawing/2010/main" Requires="a14">
      <xdr:twoCellAnchor editAs="absolute">
        <xdr:from>
          <xdr:col>1</xdr:col>
          <xdr:colOff>38100</xdr:colOff>
          <xdr:row>10</xdr:row>
          <xdr:rowOff>476250</xdr:rowOff>
        </xdr:from>
        <xdr:to>
          <xdr:col>1</xdr:col>
          <xdr:colOff>2181225</xdr:colOff>
          <xdr:row>11</xdr:row>
          <xdr:rowOff>314325</xdr:rowOff>
        </xdr:to>
        <xdr:sp macro="" textlink="">
          <xdr:nvSpPr>
            <xdr:cNvPr id="1027" name="Drop Down 3" hidden="1">
              <a:extLst>
                <a:ext uri="{63B3BB69-23CF-44E3-9099-C40C66FF867C}">
                  <a14:compatExt spid="_x0000_s1027"/>
                </a:ext>
                <a:ext uri="{FF2B5EF4-FFF2-40B4-BE49-F238E27FC236}">
                  <a16:creationId xmlns:a16="http://schemas.microsoft.com/office/drawing/2014/main" id="{00000000-0008-0000-0100-000003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152400</xdr:colOff>
          <xdr:row>0</xdr:row>
          <xdr:rowOff>161925</xdr:rowOff>
        </xdr:from>
        <xdr:to>
          <xdr:col>1</xdr:col>
          <xdr:colOff>1638300</xdr:colOff>
          <xdr:row>2</xdr:row>
          <xdr:rowOff>19050</xdr:rowOff>
        </xdr:to>
        <xdr:sp macro="" textlink="">
          <xdr:nvSpPr>
            <xdr:cNvPr id="1030" name="Object 6" hidden="1">
              <a:extLst>
                <a:ext uri="{63B3BB69-23CF-44E3-9099-C40C66FF867C}">
                  <a14:compatExt spid="_x0000_s1030"/>
                </a:ext>
                <a:ext uri="{FF2B5EF4-FFF2-40B4-BE49-F238E27FC236}">
                  <a16:creationId xmlns:a16="http://schemas.microsoft.com/office/drawing/2014/main" id="{00000000-0008-0000-01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oneCellAnchor>
    <xdr:from>
      <xdr:col>2</xdr:col>
      <xdr:colOff>1214717</xdr:colOff>
      <xdr:row>0</xdr:row>
      <xdr:rowOff>83362</xdr:rowOff>
    </xdr:from>
    <xdr:ext cx="2889623" cy="1928934"/>
    <xdr:pic>
      <xdr:nvPicPr>
        <xdr:cNvPr id="5" name="Рисунок 4">
          <a:extLst>
            <a:ext uri="{FF2B5EF4-FFF2-40B4-BE49-F238E27FC236}">
              <a16:creationId xmlns:a16="http://schemas.microsoft.com/office/drawing/2014/main" id="{00000000-0008-0000-02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80011" y="83362"/>
          <a:ext cx="2889623" cy="1928934"/>
        </a:xfrm>
        <a:prstGeom prst="rect">
          <a:avLst/>
        </a:prstGeom>
        <a:solidFill>
          <a:srgbClr val="FF0000"/>
        </a:solidFill>
        <a:effectLst>
          <a:glow rad="127000">
            <a:srgbClr val="C61C34">
              <a:alpha val="60000"/>
            </a:srgbClr>
          </a:glow>
        </a:effectLst>
      </xdr:spPr>
    </xdr:pic>
    <xdr:clientData/>
  </xdr:oneCellAnchor>
  <xdr:oneCellAnchor>
    <xdr:from>
      <xdr:col>0</xdr:col>
      <xdr:colOff>286602</xdr:colOff>
      <xdr:row>3</xdr:row>
      <xdr:rowOff>114492</xdr:rowOff>
    </xdr:from>
    <xdr:ext cx="3216523" cy="433452"/>
    <xdr:sp macro="" textlink="">
      <xdr:nvSpPr>
        <xdr:cNvPr id="12" name="Прямоугольник 11">
          <a:extLst>
            <a:ext uri="{FF2B5EF4-FFF2-40B4-BE49-F238E27FC236}">
              <a16:creationId xmlns:a16="http://schemas.microsoft.com/office/drawing/2014/main" id="{00000000-0008-0000-0200-00000C000000}"/>
            </a:ext>
          </a:extLst>
        </xdr:cNvPr>
        <xdr:cNvSpPr/>
      </xdr:nvSpPr>
      <xdr:spPr>
        <a:xfrm>
          <a:off x="286602" y="1257492"/>
          <a:ext cx="3216523" cy="433452"/>
        </a:xfrm>
        <a:prstGeom prst="rect">
          <a:avLst/>
        </a:prstGeom>
        <a:noFill/>
      </xdr:spPr>
      <xdr:txBody>
        <a:bodyPr wrap="none" lIns="91440" tIns="45720" rIns="91440" bIns="45720">
          <a:spAutoFit/>
        </a:bodyPr>
        <a:lstStyle/>
        <a:p>
          <a:pPr algn="ctr"/>
          <a:r>
            <a:rPr lang="el-GR"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Ύψος πόρτας</a:t>
          </a:r>
          <a:r>
            <a:rPr lang="en-US"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=250-700</a:t>
          </a:r>
          <a:r>
            <a:rPr lang="ru-RU"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мм</a:t>
          </a:r>
        </a:p>
      </xdr:txBody>
    </xdr:sp>
    <xdr:clientData/>
  </xdr:oneCellAnchor>
  <mc:AlternateContent xmlns:mc="http://schemas.openxmlformats.org/markup-compatibility/2006">
    <mc:Choice xmlns:a14="http://schemas.microsoft.com/office/drawing/2010/main" Requires="a14">
      <xdr:twoCellAnchor editAs="absolute">
        <xdr:from>
          <xdr:col>1</xdr:col>
          <xdr:colOff>28575</xdr:colOff>
          <xdr:row>11</xdr:row>
          <xdr:rowOff>57150</xdr:rowOff>
        </xdr:from>
        <xdr:to>
          <xdr:col>1</xdr:col>
          <xdr:colOff>2190750</xdr:colOff>
          <xdr:row>12</xdr:row>
          <xdr:rowOff>276225</xdr:rowOff>
        </xdr:to>
        <xdr:sp macro="" textlink="">
          <xdr:nvSpPr>
            <xdr:cNvPr id="2051" name="Drop Down 3" hidden="1">
              <a:extLst>
                <a:ext uri="{63B3BB69-23CF-44E3-9099-C40C66FF867C}">
                  <a14:compatExt spid="_x0000_s2051"/>
                </a:ext>
                <a:ext uri="{FF2B5EF4-FFF2-40B4-BE49-F238E27FC236}">
                  <a16:creationId xmlns:a16="http://schemas.microsoft.com/office/drawing/2014/main" id="{00000000-0008-0000-0200-000003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152400</xdr:colOff>
          <xdr:row>0</xdr:row>
          <xdr:rowOff>161925</xdr:rowOff>
        </xdr:from>
        <xdr:to>
          <xdr:col>1</xdr:col>
          <xdr:colOff>1638300</xdr:colOff>
          <xdr:row>2</xdr:row>
          <xdr:rowOff>19050</xdr:rowOff>
        </xdr:to>
        <xdr:sp macro="" textlink="">
          <xdr:nvSpPr>
            <xdr:cNvPr id="2053" name="Object 5" hidden="1">
              <a:extLst>
                <a:ext uri="{63B3BB69-23CF-44E3-9099-C40C66FF867C}">
                  <a14:compatExt spid="_x0000_s2053"/>
                </a:ext>
                <a:ext uri="{FF2B5EF4-FFF2-40B4-BE49-F238E27FC236}">
                  <a16:creationId xmlns:a16="http://schemas.microsoft.com/office/drawing/2014/main" id="{00000000-0008-0000-02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xdr:oneCellAnchor>
    <xdr:from>
      <xdr:col>2</xdr:col>
      <xdr:colOff>1592793</xdr:colOff>
      <xdr:row>0</xdr:row>
      <xdr:rowOff>83362</xdr:rowOff>
    </xdr:from>
    <xdr:ext cx="2678852" cy="1928934"/>
    <xdr:pic>
      <xdr:nvPicPr>
        <xdr:cNvPr id="2" name="Рисунок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77617" y="83362"/>
          <a:ext cx="2678852" cy="1928934"/>
        </a:xfrm>
        <a:prstGeom prst="rect">
          <a:avLst/>
        </a:prstGeom>
        <a:solidFill>
          <a:srgbClr val="FF0000"/>
        </a:solidFill>
        <a:effectLst>
          <a:glow rad="127000">
            <a:srgbClr val="C61C34">
              <a:alpha val="60000"/>
            </a:srgbClr>
          </a:glow>
        </a:effectLst>
      </xdr:spPr>
    </xdr:pic>
    <xdr:clientData/>
  </xdr:oneCellAnchor>
  <xdr:oneCellAnchor>
    <xdr:from>
      <xdr:col>1</xdr:col>
      <xdr:colOff>33110</xdr:colOff>
      <xdr:row>3</xdr:row>
      <xdr:rowOff>18868</xdr:rowOff>
    </xdr:from>
    <xdr:ext cx="3431965" cy="433452"/>
    <xdr:sp macro="" textlink="">
      <xdr:nvSpPr>
        <xdr:cNvPr id="9" name="Прямоугольник 8">
          <a:extLst>
            <a:ext uri="{FF2B5EF4-FFF2-40B4-BE49-F238E27FC236}">
              <a16:creationId xmlns:a16="http://schemas.microsoft.com/office/drawing/2014/main" id="{00000000-0008-0000-0300-000009000000}"/>
            </a:ext>
          </a:extLst>
        </xdr:cNvPr>
        <xdr:cNvSpPr/>
      </xdr:nvSpPr>
      <xdr:spPr>
        <a:xfrm>
          <a:off x="331284" y="1161868"/>
          <a:ext cx="3431965" cy="433452"/>
        </a:xfrm>
        <a:prstGeom prst="rect">
          <a:avLst/>
        </a:prstGeom>
        <a:noFill/>
      </xdr:spPr>
      <xdr:txBody>
        <a:bodyPr wrap="none" lIns="91440" tIns="45720" rIns="91440" bIns="45720">
          <a:spAutoFit/>
        </a:bodyPr>
        <a:lstStyle/>
        <a:p>
          <a:pPr algn="ctr"/>
          <a:r>
            <a:rPr lang="el-GR"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Ύψος πόρτας </a:t>
          </a:r>
          <a:r>
            <a:rPr lang="en-US"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h=240-600</a:t>
          </a:r>
          <a:r>
            <a:rPr lang="ru-RU"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мм</a:t>
          </a:r>
        </a:p>
      </xdr:txBody>
    </xdr:sp>
    <xdr:clientData/>
  </xdr:oneCellAnchor>
  <xdr:oneCellAnchor>
    <xdr:from>
      <xdr:col>0</xdr:col>
      <xdr:colOff>168835</xdr:colOff>
      <xdr:row>3</xdr:row>
      <xdr:rowOff>353546</xdr:rowOff>
    </xdr:from>
    <xdr:ext cx="3914588" cy="580159"/>
    <xdr:sp macro="" textlink="">
      <xdr:nvSpPr>
        <xdr:cNvPr id="11" name="Прямоугольник 10">
          <a:extLst>
            <a:ext uri="{FF2B5EF4-FFF2-40B4-BE49-F238E27FC236}">
              <a16:creationId xmlns:a16="http://schemas.microsoft.com/office/drawing/2014/main" id="{00000000-0008-0000-0300-00000B000000}"/>
            </a:ext>
          </a:extLst>
        </xdr:cNvPr>
        <xdr:cNvSpPr/>
      </xdr:nvSpPr>
      <xdr:spPr>
        <a:xfrm>
          <a:off x="168835" y="1496546"/>
          <a:ext cx="3914588" cy="580159"/>
        </a:xfrm>
        <a:prstGeom prst="rect">
          <a:avLst/>
        </a:prstGeom>
        <a:noFill/>
      </xdr:spPr>
      <xdr:txBody>
        <a:bodyPr wrap="square" lIns="91440" tIns="45720" rIns="91440" bIns="45720">
          <a:spAutoFit/>
        </a:bodyPr>
        <a:lstStyle/>
        <a:p>
          <a:pPr algn="l"/>
          <a:r>
            <a:rPr lang="el-GR" sz="1100" b="0" cap="none" spc="0" baseline="0">
              <a:ln w="0"/>
              <a:solidFill>
                <a:schemeClr val="tx1"/>
              </a:solidFill>
              <a:effectLst>
                <a:outerShdw blurRad="38100" dist="19050" dir="2700000" algn="tl" rotWithShape="0">
                  <a:schemeClr val="dk1">
                    <a:alpha val="40000"/>
                  </a:schemeClr>
                </a:outerShdw>
              </a:effectLst>
              <a:latin typeface="Yu Gothic UI Light" panose="020B0300000000000000" pitchFamily="34" charset="-128"/>
              <a:ea typeface="Yu Gothic UI Light" panose="020B0300000000000000" pitchFamily="34" charset="-128"/>
            </a:rPr>
            <a:t>Εάν το πλάτος πόρτας είναι περισσότερο από 600</a:t>
          </a:r>
          <a:r>
            <a:rPr lang="en-US" sz="1100" b="0" cap="none" spc="0" baseline="0">
              <a:ln w="0"/>
              <a:solidFill>
                <a:schemeClr val="tx1"/>
              </a:solidFill>
              <a:effectLst>
                <a:outerShdw blurRad="38100" dist="19050" dir="2700000" algn="tl" rotWithShape="0">
                  <a:schemeClr val="dk1">
                    <a:alpha val="40000"/>
                  </a:schemeClr>
                </a:outerShdw>
              </a:effectLst>
              <a:latin typeface="Yu Gothic UI Light" panose="020B0300000000000000" pitchFamily="34" charset="-128"/>
              <a:ea typeface="Yu Gothic UI Light" panose="020B0300000000000000" pitchFamily="34" charset="-128"/>
            </a:rPr>
            <a:t>mm, </a:t>
          </a:r>
          <a:r>
            <a:rPr lang="el-GR" sz="1100" b="0" cap="none" spc="0" baseline="0">
              <a:ln w="0"/>
              <a:solidFill>
                <a:schemeClr val="tx1"/>
              </a:solidFill>
              <a:effectLst>
                <a:outerShdw blurRad="38100" dist="19050" dir="2700000" algn="tl" rotWithShape="0">
                  <a:schemeClr val="dk1">
                    <a:alpha val="40000"/>
                  </a:schemeClr>
                </a:outerShdw>
              </a:effectLst>
              <a:latin typeface="Yu Gothic UI Light" panose="020B0300000000000000" pitchFamily="34" charset="-128"/>
              <a:ea typeface="Yu Gothic UI Light" panose="020B0300000000000000" pitchFamily="34" charset="-128"/>
            </a:rPr>
            <a:t>ένας μηχανισμός είναι αρκετός. </a:t>
          </a:r>
          <a:endParaRPr lang="ru-RU" sz="1100" b="0" cap="none" spc="0" baseline="0">
            <a:ln w="0"/>
            <a:solidFill>
              <a:schemeClr val="tx1"/>
            </a:solidFill>
            <a:effectLst>
              <a:outerShdw blurRad="38100" dist="19050" dir="2700000" algn="tl" rotWithShape="0">
                <a:schemeClr val="dk1">
                  <a:alpha val="40000"/>
                </a:schemeClr>
              </a:outerShdw>
            </a:effectLst>
            <a:latin typeface="Yu Gothic UI Light" panose="020B0300000000000000" pitchFamily="34" charset="-128"/>
            <a:ea typeface="Yu Gothic UI Light" panose="020B0300000000000000" pitchFamily="34" charset="-128"/>
          </a:endParaRPr>
        </a:p>
      </xdr:txBody>
    </xdr:sp>
    <xdr:clientData/>
  </xdr:oneCellAnchor>
  <xdr:oneCellAnchor>
    <xdr:from>
      <xdr:col>2</xdr:col>
      <xdr:colOff>1600250</xdr:colOff>
      <xdr:row>25</xdr:row>
      <xdr:rowOff>83362</xdr:rowOff>
    </xdr:from>
    <xdr:ext cx="2678852" cy="1928934"/>
    <xdr:pic>
      <xdr:nvPicPr>
        <xdr:cNvPr id="13" name="Рисунок 12">
          <a:extLst>
            <a:ext uri="{FF2B5EF4-FFF2-40B4-BE49-F238E27FC236}">
              <a16:creationId xmlns:a16="http://schemas.microsoft.com/office/drawing/2014/main" id="{00000000-0008-0000-0300-00000D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30090" y="6247942"/>
          <a:ext cx="2678852" cy="1928934"/>
        </a:xfrm>
        <a:prstGeom prst="rect">
          <a:avLst/>
        </a:prstGeom>
        <a:solidFill>
          <a:srgbClr val="FF0000"/>
        </a:solidFill>
        <a:effectLst>
          <a:glow rad="127000">
            <a:srgbClr val="C61C34">
              <a:alpha val="60000"/>
            </a:srgbClr>
          </a:glow>
        </a:effectLst>
      </xdr:spPr>
    </xdr:pic>
    <xdr:clientData/>
  </xdr:oneCellAnchor>
  <xdr:oneCellAnchor>
    <xdr:from>
      <xdr:col>0</xdr:col>
      <xdr:colOff>0</xdr:colOff>
      <xdr:row>28</xdr:row>
      <xdr:rowOff>149246</xdr:rowOff>
    </xdr:from>
    <xdr:ext cx="3431965" cy="433452"/>
    <xdr:sp macro="" textlink="">
      <xdr:nvSpPr>
        <xdr:cNvPr id="14" name="Прямоугольник 13">
          <a:extLst>
            <a:ext uri="{FF2B5EF4-FFF2-40B4-BE49-F238E27FC236}">
              <a16:creationId xmlns:a16="http://schemas.microsoft.com/office/drawing/2014/main" id="{00000000-0008-0000-0300-00000E000000}"/>
            </a:ext>
          </a:extLst>
        </xdr:cNvPr>
        <xdr:cNvSpPr/>
      </xdr:nvSpPr>
      <xdr:spPr>
        <a:xfrm>
          <a:off x="0" y="9268398"/>
          <a:ext cx="3431965" cy="433452"/>
        </a:xfrm>
        <a:prstGeom prst="rect">
          <a:avLst/>
        </a:prstGeom>
        <a:noFill/>
      </xdr:spPr>
      <xdr:txBody>
        <a:bodyPr wrap="none" lIns="91440" tIns="45720" rIns="91440" bIns="45720">
          <a:spAutoFit/>
        </a:bodyPr>
        <a:lstStyle/>
        <a:p>
          <a:pPr algn="ctr"/>
          <a:r>
            <a:rPr lang="el-GR"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Ύψος πόρτας </a:t>
          </a:r>
          <a:r>
            <a:rPr lang="en-US"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h=240-600</a:t>
          </a:r>
          <a:r>
            <a:rPr lang="ru-RU"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мм</a:t>
          </a:r>
        </a:p>
      </xdr:txBody>
    </xdr:sp>
    <xdr:clientData/>
  </xdr:oneCellAnchor>
  <xdr:oneCellAnchor>
    <xdr:from>
      <xdr:col>0</xdr:col>
      <xdr:colOff>231588</xdr:colOff>
      <xdr:row>29</xdr:row>
      <xdr:rowOff>147358</xdr:rowOff>
    </xdr:from>
    <xdr:ext cx="3746052" cy="264560"/>
    <xdr:sp macro="" textlink="">
      <xdr:nvSpPr>
        <xdr:cNvPr id="15" name="Прямоугольник 14">
          <a:extLst>
            <a:ext uri="{FF2B5EF4-FFF2-40B4-BE49-F238E27FC236}">
              <a16:creationId xmlns:a16="http://schemas.microsoft.com/office/drawing/2014/main" id="{00000000-0008-0000-0300-00000F000000}"/>
            </a:ext>
          </a:extLst>
        </xdr:cNvPr>
        <xdr:cNvSpPr/>
      </xdr:nvSpPr>
      <xdr:spPr>
        <a:xfrm>
          <a:off x="231588" y="9448728"/>
          <a:ext cx="3746052" cy="264560"/>
        </a:xfrm>
        <a:prstGeom prst="rect">
          <a:avLst/>
        </a:prstGeom>
        <a:noFill/>
      </xdr:spPr>
      <xdr:txBody>
        <a:bodyPr wrap="square" lIns="91440" tIns="45720" rIns="91440" bIns="45720">
          <a:spAutoFit/>
        </a:bodyPr>
        <a:lstStyle/>
        <a:p>
          <a:endParaRPr lang="zh-CN" altLang="zh-CN">
            <a:effectLst/>
          </a:endParaRPr>
        </a:p>
      </xdr:txBody>
    </xdr:sp>
    <xdr:clientData/>
  </xdr:oneCellAnchor>
  <mc:AlternateContent xmlns:mc="http://schemas.openxmlformats.org/markup-compatibility/2006">
    <mc:Choice xmlns:a14="http://schemas.microsoft.com/office/drawing/2010/main" Requires="a14">
      <xdr:twoCellAnchor editAs="absolute">
        <xdr:from>
          <xdr:col>1</xdr:col>
          <xdr:colOff>28575</xdr:colOff>
          <xdr:row>11</xdr:row>
          <xdr:rowOff>209550</xdr:rowOff>
        </xdr:from>
        <xdr:to>
          <xdr:col>1</xdr:col>
          <xdr:colOff>2190750</xdr:colOff>
          <xdr:row>12</xdr:row>
          <xdr:rowOff>371475</xdr:rowOff>
        </xdr:to>
        <xdr:sp macro="" textlink="">
          <xdr:nvSpPr>
            <xdr:cNvPr id="5121" name="Drop Down 1" hidden="1">
              <a:extLst>
                <a:ext uri="{63B3BB69-23CF-44E3-9099-C40C66FF867C}">
                  <a14:compatExt spid="_x0000_s5121"/>
                </a:ext>
                <a:ext uri="{FF2B5EF4-FFF2-40B4-BE49-F238E27FC236}">
                  <a16:creationId xmlns:a16="http://schemas.microsoft.com/office/drawing/2014/main" id="{00000000-0008-0000-0300-000001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152400</xdr:colOff>
          <xdr:row>0</xdr:row>
          <xdr:rowOff>152400</xdr:rowOff>
        </xdr:from>
        <xdr:to>
          <xdr:col>1</xdr:col>
          <xdr:colOff>1638300</xdr:colOff>
          <xdr:row>2</xdr:row>
          <xdr:rowOff>0</xdr:rowOff>
        </xdr:to>
        <xdr:sp macro="" textlink="">
          <xdr:nvSpPr>
            <xdr:cNvPr id="5124" name="Object 4" hidden="1">
              <a:extLst>
                <a:ext uri="{63B3BB69-23CF-44E3-9099-C40C66FF867C}">
                  <a14:compatExt spid="_x0000_s5124"/>
                </a:ext>
                <a:ext uri="{FF2B5EF4-FFF2-40B4-BE49-F238E27FC236}">
                  <a16:creationId xmlns:a16="http://schemas.microsoft.com/office/drawing/2014/main" id="{00000000-0008-0000-0300-00000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152400</xdr:colOff>
          <xdr:row>25</xdr:row>
          <xdr:rowOff>152400</xdr:rowOff>
        </xdr:from>
        <xdr:to>
          <xdr:col>1</xdr:col>
          <xdr:colOff>1638300</xdr:colOff>
          <xdr:row>27</xdr:row>
          <xdr:rowOff>0</xdr:rowOff>
        </xdr:to>
        <xdr:sp macro="" textlink="">
          <xdr:nvSpPr>
            <xdr:cNvPr id="5126" name="Object 6" hidden="1">
              <a:extLst>
                <a:ext uri="{63B3BB69-23CF-44E3-9099-C40C66FF867C}">
                  <a14:compatExt spid="_x0000_s5126"/>
                </a:ext>
                <a:ext uri="{FF2B5EF4-FFF2-40B4-BE49-F238E27FC236}">
                  <a16:creationId xmlns:a16="http://schemas.microsoft.com/office/drawing/2014/main" id="{00000000-0008-0000-0300-00000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1</xdr:col>
          <xdr:colOff>38100</xdr:colOff>
          <xdr:row>35</xdr:row>
          <xdr:rowOff>95250</xdr:rowOff>
        </xdr:from>
        <xdr:to>
          <xdr:col>1</xdr:col>
          <xdr:colOff>2209800</xdr:colOff>
          <xdr:row>36</xdr:row>
          <xdr:rowOff>200025</xdr:rowOff>
        </xdr:to>
        <xdr:sp macro="" textlink="">
          <xdr:nvSpPr>
            <xdr:cNvPr id="5128" name="Drop Down 8" hidden="1">
              <a:extLst>
                <a:ext uri="{63B3BB69-23CF-44E3-9099-C40C66FF867C}">
                  <a14:compatExt spid="_x0000_s5128"/>
                </a:ext>
                <a:ext uri="{FF2B5EF4-FFF2-40B4-BE49-F238E27FC236}">
                  <a16:creationId xmlns:a16="http://schemas.microsoft.com/office/drawing/2014/main" id="{00000000-0008-0000-0300-000008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xdr:twoCellAnchor editAs="oneCell">
    <xdr:from>
      <xdr:col>2</xdr:col>
      <xdr:colOff>1305593</xdr:colOff>
      <xdr:row>0</xdr:row>
      <xdr:rowOff>91000</xdr:rowOff>
    </xdr:from>
    <xdr:to>
      <xdr:col>4</xdr:col>
      <xdr:colOff>1490383</xdr:colOff>
      <xdr:row>6</xdr:row>
      <xdr:rowOff>112059</xdr:rowOff>
    </xdr:to>
    <xdr:pic>
      <xdr:nvPicPr>
        <xdr:cNvPr id="3" name="Рисунок 2">
          <a:extLst>
            <a:ext uri="{FF2B5EF4-FFF2-40B4-BE49-F238E27FC236}">
              <a16:creationId xmlns:a16="http://schemas.microsoft.com/office/drawing/2014/main" id="{00000000-0008-0000-0400-000003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9885" r="26104" b="21570"/>
        <a:stretch/>
      </xdr:blipFill>
      <xdr:spPr>
        <a:xfrm>
          <a:off x="3770887" y="91000"/>
          <a:ext cx="2762143" cy="1903647"/>
        </a:xfrm>
        <a:prstGeom prst="rect">
          <a:avLst/>
        </a:prstGeom>
        <a:solidFill>
          <a:srgbClr val="FF0000"/>
        </a:solidFill>
        <a:effectLst>
          <a:glow rad="127000">
            <a:srgbClr val="C61C34">
              <a:alpha val="60000"/>
            </a:srgbClr>
          </a:glow>
        </a:effectLst>
      </xdr:spPr>
    </xdr:pic>
    <xdr:clientData/>
  </xdr:twoCellAnchor>
  <xdr:oneCellAnchor>
    <xdr:from>
      <xdr:col>0</xdr:col>
      <xdr:colOff>264737</xdr:colOff>
      <xdr:row>3</xdr:row>
      <xdr:rowOff>45537</xdr:rowOff>
    </xdr:from>
    <xdr:ext cx="3231719" cy="399405"/>
    <xdr:sp macro="" textlink="">
      <xdr:nvSpPr>
        <xdr:cNvPr id="5" name="Прямоугольник 4">
          <a:extLst>
            <a:ext uri="{FF2B5EF4-FFF2-40B4-BE49-F238E27FC236}">
              <a16:creationId xmlns:a16="http://schemas.microsoft.com/office/drawing/2014/main" id="{00000000-0008-0000-0400-000005000000}"/>
            </a:ext>
          </a:extLst>
        </xdr:cNvPr>
        <xdr:cNvSpPr/>
      </xdr:nvSpPr>
      <xdr:spPr>
        <a:xfrm>
          <a:off x="264737" y="1188537"/>
          <a:ext cx="3231719" cy="399405"/>
        </a:xfrm>
        <a:prstGeom prst="rect">
          <a:avLst/>
        </a:prstGeom>
        <a:noFill/>
      </xdr:spPr>
      <xdr:txBody>
        <a:bodyPr wrap="none" lIns="91440" tIns="45720" rIns="91440" bIns="45720">
          <a:spAutoFit/>
        </a:bodyPr>
        <a:lstStyle/>
        <a:p>
          <a:pPr algn="ctr"/>
          <a:r>
            <a:rPr lang="el-GR" sz="18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Ύψος πόρτας </a:t>
          </a:r>
          <a:r>
            <a:rPr lang="en-US" sz="18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h=480-1040</a:t>
          </a:r>
          <a:r>
            <a:rPr lang="ru-RU" sz="18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мм</a:t>
          </a:r>
        </a:p>
      </xdr:txBody>
    </xdr:sp>
    <xdr:clientData/>
  </xdr:oneCellAnchor>
  <mc:AlternateContent xmlns:mc="http://schemas.openxmlformats.org/markup-compatibility/2006">
    <mc:Choice xmlns:a14="http://schemas.microsoft.com/office/drawing/2010/main" Requires="a14">
      <xdr:twoCellAnchor editAs="absolute">
        <xdr:from>
          <xdr:col>1</xdr:col>
          <xdr:colOff>85725</xdr:colOff>
          <xdr:row>11</xdr:row>
          <xdr:rowOff>66675</xdr:rowOff>
        </xdr:from>
        <xdr:to>
          <xdr:col>2</xdr:col>
          <xdr:colOff>0</xdr:colOff>
          <xdr:row>13</xdr:row>
          <xdr:rowOff>0</xdr:rowOff>
        </xdr:to>
        <xdr:sp macro="" textlink="">
          <xdr:nvSpPr>
            <xdr:cNvPr id="6145" name="Drop Down 1" hidden="1">
              <a:extLst>
                <a:ext uri="{63B3BB69-23CF-44E3-9099-C40C66FF867C}">
                  <a14:compatExt spid="_x0000_s6145"/>
                </a:ext>
                <a:ext uri="{FF2B5EF4-FFF2-40B4-BE49-F238E27FC236}">
                  <a16:creationId xmlns:a16="http://schemas.microsoft.com/office/drawing/2014/main" id="{00000000-0008-0000-0400-000001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152400</xdr:colOff>
          <xdr:row>0</xdr:row>
          <xdr:rowOff>161925</xdr:rowOff>
        </xdr:from>
        <xdr:to>
          <xdr:col>1</xdr:col>
          <xdr:colOff>1638300</xdr:colOff>
          <xdr:row>2</xdr:row>
          <xdr:rowOff>19050</xdr:rowOff>
        </xdr:to>
        <xdr:sp macro="" textlink="">
          <xdr:nvSpPr>
            <xdr:cNvPr id="6146" name="Object 2" hidden="1">
              <a:extLst>
                <a:ext uri="{63B3BB69-23CF-44E3-9099-C40C66FF867C}">
                  <a14:compatExt spid="_x0000_s6146"/>
                </a:ext>
                <a:ext uri="{FF2B5EF4-FFF2-40B4-BE49-F238E27FC236}">
                  <a16:creationId xmlns:a16="http://schemas.microsoft.com/office/drawing/2014/main" id="{00000000-0008-0000-0400-00000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0</xdr:col>
      <xdr:colOff>83820</xdr:colOff>
      <xdr:row>4</xdr:row>
      <xdr:rowOff>15240</xdr:rowOff>
    </xdr:from>
    <xdr:ext cx="3914588" cy="336246"/>
    <xdr:sp macro="" textlink="">
      <xdr:nvSpPr>
        <xdr:cNvPr id="2" name="Прямоугольник 10">
          <a:extLst>
            <a:ext uri="{FF2B5EF4-FFF2-40B4-BE49-F238E27FC236}">
              <a16:creationId xmlns:a16="http://schemas.microsoft.com/office/drawing/2014/main" id="{00000000-0008-0000-0400-000002000000}"/>
            </a:ext>
          </a:extLst>
        </xdr:cNvPr>
        <xdr:cNvSpPr/>
      </xdr:nvSpPr>
      <xdr:spPr>
        <a:xfrm>
          <a:off x="83820" y="1539240"/>
          <a:ext cx="3914588" cy="336246"/>
        </a:xfrm>
        <a:prstGeom prst="rect">
          <a:avLst/>
        </a:prstGeom>
        <a:noFill/>
      </xdr:spPr>
      <xdr:txBody>
        <a:bodyPr wrap="square" lIns="91440" tIns="45720" rIns="91440" bIns="45720">
          <a:spAutoFit/>
        </a:bodyPr>
        <a:lstStyle/>
        <a:p>
          <a:pPr algn="l"/>
          <a:r>
            <a:rPr lang="el-GR" sz="1100" b="0" cap="none" spc="0" baseline="0">
              <a:ln w="0"/>
              <a:solidFill>
                <a:schemeClr val="tx1"/>
              </a:solidFill>
              <a:effectLst>
                <a:outerShdw blurRad="38100" dist="19050" dir="2700000" algn="tl" rotWithShape="0">
                  <a:schemeClr val="dk1">
                    <a:alpha val="40000"/>
                  </a:schemeClr>
                </a:outerShdw>
              </a:effectLst>
              <a:latin typeface="Yu Gothic UI Light" panose="020B0300000000000000" pitchFamily="34" charset="-128"/>
              <a:ea typeface="Yu Gothic UI Light" panose="020B0300000000000000" pitchFamily="34" charset="-128"/>
            </a:rPr>
            <a:t>Η "πόρτα" </a:t>
          </a:r>
          <a:r>
            <a:rPr lang="en-US" sz="1100" b="0" cap="none" spc="0" baseline="0">
              <a:ln w="0"/>
              <a:solidFill>
                <a:schemeClr val="tx1"/>
              </a:solidFill>
              <a:effectLst>
                <a:outerShdw blurRad="38100" dist="19050" dir="2700000" algn="tl" rotWithShape="0">
                  <a:schemeClr val="dk1">
                    <a:alpha val="40000"/>
                  </a:schemeClr>
                </a:outerShdw>
              </a:effectLst>
              <a:latin typeface="Yu Gothic UI Light" panose="020B0300000000000000" pitchFamily="34" charset="-128"/>
              <a:ea typeface="Yu Gothic UI Light" panose="020B0300000000000000" pitchFamily="34" charset="-128"/>
            </a:rPr>
            <a:t>The "door" in this page means double door</a:t>
          </a:r>
          <a:endParaRPr lang="ru-RU" sz="1100" b="0" cap="none" spc="0" baseline="0">
            <a:ln w="0"/>
            <a:solidFill>
              <a:schemeClr val="tx1"/>
            </a:solidFill>
            <a:effectLst>
              <a:outerShdw blurRad="38100" dist="19050" dir="2700000" algn="tl" rotWithShape="0">
                <a:schemeClr val="dk1">
                  <a:alpha val="40000"/>
                </a:schemeClr>
              </a:outerShdw>
            </a:effectLst>
            <a:latin typeface="Yu Gothic UI Light" panose="020B0300000000000000" pitchFamily="34" charset="-128"/>
            <a:ea typeface="Yu Gothic UI Light" panose="020B0300000000000000" pitchFamily="34" charset="-128"/>
          </a:endParaRPr>
        </a:p>
      </xdr:txBody>
    </xdr:sp>
    <xdr:clientData/>
  </xdr:oneCellAnchor>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133350</xdr:colOff>
          <xdr:row>0</xdr:row>
          <xdr:rowOff>95250</xdr:rowOff>
        </xdr:from>
        <xdr:to>
          <xdr:col>1</xdr:col>
          <xdr:colOff>1247775</xdr:colOff>
          <xdr:row>2</xdr:row>
          <xdr:rowOff>228600</xdr:rowOff>
        </xdr:to>
        <xdr:sp macro="" textlink="">
          <xdr:nvSpPr>
            <xdr:cNvPr id="13313" name="Object 1" hidden="1">
              <a:extLst>
                <a:ext uri="{63B3BB69-23CF-44E3-9099-C40C66FF867C}">
                  <a14:compatExt spid="_x0000_s13313"/>
                </a:ext>
                <a:ext uri="{FF2B5EF4-FFF2-40B4-BE49-F238E27FC236}">
                  <a16:creationId xmlns:a16="http://schemas.microsoft.com/office/drawing/2014/main" id="{00000000-0008-0000-0500-000001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0</xdr:col>
      <xdr:colOff>175523</xdr:colOff>
      <xdr:row>4</xdr:row>
      <xdr:rowOff>1</xdr:rowOff>
    </xdr:from>
    <xdr:ext cx="3977628" cy="433452"/>
    <xdr:sp macro="" textlink="">
      <xdr:nvSpPr>
        <xdr:cNvPr id="2" name="Прямоугольник 4">
          <a:extLst>
            <a:ext uri="{FF2B5EF4-FFF2-40B4-BE49-F238E27FC236}">
              <a16:creationId xmlns:a16="http://schemas.microsoft.com/office/drawing/2014/main" id="{00000000-0008-0000-0500-000002000000}"/>
            </a:ext>
          </a:extLst>
        </xdr:cNvPr>
        <xdr:cNvSpPr/>
      </xdr:nvSpPr>
      <xdr:spPr>
        <a:xfrm>
          <a:off x="175523" y="762001"/>
          <a:ext cx="3977628" cy="433452"/>
        </a:xfrm>
        <a:prstGeom prst="rect">
          <a:avLst/>
        </a:prstGeom>
        <a:noFill/>
      </xdr:spPr>
      <xdr:txBody>
        <a:bodyPr wrap="none" lIns="91440" tIns="45720" rIns="91440" bIns="45720">
          <a:spAutoFit/>
        </a:bodyPr>
        <a:lstStyle/>
        <a:p>
          <a:pPr algn="ctr"/>
          <a:r>
            <a:rPr lang="en-US"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Height of the door h=300-580</a:t>
          </a:r>
          <a:r>
            <a:rPr lang="ru-RU"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мм</a:t>
          </a:r>
        </a:p>
      </xdr:txBody>
    </xdr:sp>
    <xdr:clientData/>
  </xdr:oneCellAnchor>
  <xdr:oneCellAnchor>
    <xdr:from>
      <xdr:col>5</xdr:col>
      <xdr:colOff>350520</xdr:colOff>
      <xdr:row>0</xdr:row>
      <xdr:rowOff>0</xdr:rowOff>
    </xdr:from>
    <xdr:ext cx="3080189" cy="2723633"/>
    <xdr:pic>
      <xdr:nvPicPr>
        <xdr:cNvPr id="3" name="Рисунок 1">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398520" y="0"/>
          <a:ext cx="3080189" cy="2723633"/>
        </a:xfrm>
        <a:prstGeom prst="rect">
          <a:avLst/>
        </a:prstGeom>
      </xdr:spPr>
    </xdr:pic>
    <xdr:clientData/>
  </xdr:oneCellAnchor>
  <mc:AlternateContent xmlns:mc="http://schemas.openxmlformats.org/markup-compatibility/2006">
    <mc:Choice xmlns:a14="http://schemas.microsoft.com/office/drawing/2010/main" Requires="a14">
      <xdr:twoCellAnchor editAs="absolute">
        <xdr:from>
          <xdr:col>1</xdr:col>
          <xdr:colOff>209550</xdr:colOff>
          <xdr:row>11</xdr:row>
          <xdr:rowOff>95250</xdr:rowOff>
        </xdr:from>
        <xdr:to>
          <xdr:col>1</xdr:col>
          <xdr:colOff>2390775</xdr:colOff>
          <xdr:row>12</xdr:row>
          <xdr:rowOff>152400</xdr:rowOff>
        </xdr:to>
        <xdr:sp macro="" textlink="">
          <xdr:nvSpPr>
            <xdr:cNvPr id="13314" name="Drop Down 2" hidden="1">
              <a:extLst>
                <a:ext uri="{63B3BB69-23CF-44E3-9099-C40C66FF867C}">
                  <a14:compatExt spid="_x0000_s13314"/>
                </a:ext>
                <a:ext uri="{FF2B5EF4-FFF2-40B4-BE49-F238E27FC236}">
                  <a16:creationId xmlns:a16="http://schemas.microsoft.com/office/drawing/2014/main" id="{00000000-0008-0000-0500-0000023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133350</xdr:colOff>
          <xdr:row>0</xdr:row>
          <xdr:rowOff>95250</xdr:rowOff>
        </xdr:from>
        <xdr:to>
          <xdr:col>1</xdr:col>
          <xdr:colOff>1247775</xdr:colOff>
          <xdr:row>2</xdr:row>
          <xdr:rowOff>228600</xdr:rowOff>
        </xdr:to>
        <xdr:sp macro="" textlink="">
          <xdr:nvSpPr>
            <xdr:cNvPr id="12289" name="Object 1" hidden="1">
              <a:extLst>
                <a:ext uri="{63B3BB69-23CF-44E3-9099-C40C66FF867C}">
                  <a14:compatExt spid="_x0000_s12289"/>
                </a:ext>
                <a:ext uri="{FF2B5EF4-FFF2-40B4-BE49-F238E27FC236}">
                  <a16:creationId xmlns:a16="http://schemas.microsoft.com/office/drawing/2014/main" id="{00000000-0008-0000-0600-000001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1</xdr:col>
      <xdr:colOff>134034</xdr:colOff>
      <xdr:row>4</xdr:row>
      <xdr:rowOff>1</xdr:rowOff>
    </xdr:from>
    <xdr:ext cx="3431965" cy="433452"/>
    <xdr:sp macro="" textlink="">
      <xdr:nvSpPr>
        <xdr:cNvPr id="2" name="Прямоугольник 4">
          <a:extLst>
            <a:ext uri="{FF2B5EF4-FFF2-40B4-BE49-F238E27FC236}">
              <a16:creationId xmlns:a16="http://schemas.microsoft.com/office/drawing/2014/main" id="{00000000-0008-0000-0600-000002000000}"/>
            </a:ext>
          </a:extLst>
        </xdr:cNvPr>
        <xdr:cNvSpPr/>
      </xdr:nvSpPr>
      <xdr:spPr>
        <a:xfrm>
          <a:off x="448359" y="990601"/>
          <a:ext cx="3431965" cy="433452"/>
        </a:xfrm>
        <a:prstGeom prst="rect">
          <a:avLst/>
        </a:prstGeom>
        <a:noFill/>
      </xdr:spPr>
      <xdr:txBody>
        <a:bodyPr wrap="none" lIns="91440" tIns="45720" rIns="91440" bIns="45720">
          <a:spAutoFit/>
        </a:bodyPr>
        <a:lstStyle/>
        <a:p>
          <a:pPr algn="ctr"/>
          <a:r>
            <a:rPr lang="el-GR"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Ύψος πόρτας </a:t>
          </a:r>
          <a:r>
            <a:rPr lang="en-US"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h=300-580</a:t>
          </a:r>
          <a:r>
            <a:rPr lang="ru-RU"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мм</a:t>
          </a:r>
        </a:p>
      </xdr:txBody>
    </xdr:sp>
    <xdr:clientData/>
  </xdr:oneCellAnchor>
  <xdr:twoCellAnchor editAs="oneCell">
    <xdr:from>
      <xdr:col>5</xdr:col>
      <xdr:colOff>350520</xdr:colOff>
      <xdr:row>0</xdr:row>
      <xdr:rowOff>0</xdr:rowOff>
    </xdr:from>
    <xdr:to>
      <xdr:col>7</xdr:col>
      <xdr:colOff>1709</xdr:colOff>
      <xdr:row>9</xdr:row>
      <xdr:rowOff>361433</xdr:rowOff>
    </xdr:to>
    <xdr:pic>
      <xdr:nvPicPr>
        <xdr:cNvPr id="3" name="Рисунок 1">
          <a:extLst>
            <a:ext uri="{FF2B5EF4-FFF2-40B4-BE49-F238E27FC236}">
              <a16:creationId xmlns:a16="http://schemas.microsoft.com/office/drawing/2014/main" id="{00000000-0008-0000-06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002780" y="0"/>
          <a:ext cx="3154484" cy="2754113"/>
        </a:xfrm>
        <a:prstGeom prst="rect">
          <a:avLst/>
        </a:prstGeom>
      </xdr:spPr>
    </xdr:pic>
    <xdr:clientData/>
  </xdr:twoCellAnchor>
  <mc:AlternateContent xmlns:mc="http://schemas.openxmlformats.org/markup-compatibility/2006">
    <mc:Choice xmlns:a14="http://schemas.microsoft.com/office/drawing/2010/main" Requires="a14">
      <xdr:twoCellAnchor editAs="absolute">
        <xdr:from>
          <xdr:col>1</xdr:col>
          <xdr:colOff>209550</xdr:colOff>
          <xdr:row>11</xdr:row>
          <xdr:rowOff>95250</xdr:rowOff>
        </xdr:from>
        <xdr:to>
          <xdr:col>1</xdr:col>
          <xdr:colOff>2390775</xdr:colOff>
          <xdr:row>12</xdr:row>
          <xdr:rowOff>152400</xdr:rowOff>
        </xdr:to>
        <xdr:sp macro="" textlink="">
          <xdr:nvSpPr>
            <xdr:cNvPr id="12290" name="Drop Down 2" hidden="1">
              <a:extLst>
                <a:ext uri="{63B3BB69-23CF-44E3-9099-C40C66FF867C}">
                  <a14:compatExt spid="_x0000_s12290"/>
                </a:ext>
                <a:ext uri="{FF2B5EF4-FFF2-40B4-BE49-F238E27FC236}">
                  <a16:creationId xmlns:a16="http://schemas.microsoft.com/office/drawing/2014/main" id="{00000000-0008-0000-0600-000002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oleObject" Target="../embeddings/oleObject2.bin"/><Relationship Id="rId3" Type="http://schemas.openxmlformats.org/officeDocument/2006/relationships/printerSettings" Target="../printerSettings/printerSettings1.bin"/><Relationship Id="rId7" Type="http://schemas.openxmlformats.org/officeDocument/2006/relationships/image" Target="../media/image1.emf"/><Relationship Id="rId2" Type="http://schemas.openxmlformats.org/officeDocument/2006/relationships/hyperlink" Target="http://www.dtcdtc.com/" TargetMode="External"/><Relationship Id="rId1" Type="http://schemas.openxmlformats.org/officeDocument/2006/relationships/hyperlink" Target="http://www.dtcdtc.com/" TargetMode="External"/><Relationship Id="rId6" Type="http://schemas.openxmlformats.org/officeDocument/2006/relationships/oleObject" Target="../embeddings/oleObject1.bin"/><Relationship Id="rId5" Type="http://schemas.openxmlformats.org/officeDocument/2006/relationships/vmlDrawing" Target="../drawings/vmlDrawing1.vml"/><Relationship Id="rId10" Type="http://schemas.openxmlformats.org/officeDocument/2006/relationships/ctrlProp" Target="../ctrlProps/ctrlProp2.xml"/><Relationship Id="rId4" Type="http://schemas.openxmlformats.org/officeDocument/2006/relationships/drawing" Target="../drawings/drawing1.xml"/><Relationship Id="rId9"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3.xml"/><Relationship Id="rId3" Type="http://schemas.openxmlformats.org/officeDocument/2006/relationships/printerSettings" Target="../printerSettings/printerSettings3.bin"/><Relationship Id="rId7" Type="http://schemas.openxmlformats.org/officeDocument/2006/relationships/image" Target="../media/image1.emf"/><Relationship Id="rId2" Type="http://schemas.openxmlformats.org/officeDocument/2006/relationships/hyperlink" Target="http://www.dtcdtc.com/" TargetMode="External"/><Relationship Id="rId1" Type="http://schemas.openxmlformats.org/officeDocument/2006/relationships/printerSettings" Target="../printerSettings/printerSettings2.bin"/><Relationship Id="rId6" Type="http://schemas.openxmlformats.org/officeDocument/2006/relationships/oleObject" Target="../embeddings/oleObject3.bin"/><Relationship Id="rId5" Type="http://schemas.openxmlformats.org/officeDocument/2006/relationships/vmlDrawing" Target="../drawings/vmlDrawing2.vm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7" Type="http://schemas.openxmlformats.org/officeDocument/2006/relationships/ctrlProp" Target="../ctrlProps/ctrlProp4.xml"/><Relationship Id="rId2" Type="http://schemas.openxmlformats.org/officeDocument/2006/relationships/printerSettings" Target="../printerSettings/printerSettings4.bin"/><Relationship Id="rId1" Type="http://schemas.openxmlformats.org/officeDocument/2006/relationships/hyperlink" Target="http://www.dtcdtc.com/" TargetMode="External"/><Relationship Id="rId6" Type="http://schemas.openxmlformats.org/officeDocument/2006/relationships/image" Target="../media/image1.emf"/><Relationship Id="rId5" Type="http://schemas.openxmlformats.org/officeDocument/2006/relationships/oleObject" Target="../embeddings/oleObject4.bin"/><Relationship Id="rId4" Type="http://schemas.openxmlformats.org/officeDocument/2006/relationships/vmlDrawing" Target="../drawings/vmlDrawing3.vml"/></Relationships>
</file>

<file path=xl/worksheets/_rels/sheet4.xml.rels><?xml version="1.0" encoding="UTF-8" standalone="yes"?>
<Relationships xmlns="http://schemas.openxmlformats.org/package/2006/relationships"><Relationship Id="rId8" Type="http://schemas.openxmlformats.org/officeDocument/2006/relationships/oleObject" Target="../embeddings/oleObject6.bin"/><Relationship Id="rId3" Type="http://schemas.openxmlformats.org/officeDocument/2006/relationships/printerSettings" Target="../printerSettings/printerSettings5.bin"/><Relationship Id="rId7" Type="http://schemas.openxmlformats.org/officeDocument/2006/relationships/image" Target="../media/image1.emf"/><Relationship Id="rId2" Type="http://schemas.openxmlformats.org/officeDocument/2006/relationships/hyperlink" Target="http://www.dtcdtc.com/" TargetMode="External"/><Relationship Id="rId1" Type="http://schemas.openxmlformats.org/officeDocument/2006/relationships/hyperlink" Target="http://www.dtcdtc.com/" TargetMode="External"/><Relationship Id="rId6" Type="http://schemas.openxmlformats.org/officeDocument/2006/relationships/oleObject" Target="../embeddings/oleObject5.bin"/><Relationship Id="rId5" Type="http://schemas.openxmlformats.org/officeDocument/2006/relationships/vmlDrawing" Target="../drawings/vmlDrawing4.vml"/><Relationship Id="rId10" Type="http://schemas.openxmlformats.org/officeDocument/2006/relationships/ctrlProp" Target="../ctrlProps/ctrlProp6.xml"/><Relationship Id="rId4" Type="http://schemas.openxmlformats.org/officeDocument/2006/relationships/drawing" Target="../drawings/drawing4.xml"/><Relationship Id="rId9" Type="http://schemas.openxmlformats.org/officeDocument/2006/relationships/ctrlProp" Target="../ctrlProps/ctrlProp5.xm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7" Type="http://schemas.openxmlformats.org/officeDocument/2006/relationships/ctrlProp" Target="../ctrlProps/ctrlProp7.xml"/><Relationship Id="rId2" Type="http://schemas.openxmlformats.org/officeDocument/2006/relationships/printerSettings" Target="../printerSettings/printerSettings6.bin"/><Relationship Id="rId1" Type="http://schemas.openxmlformats.org/officeDocument/2006/relationships/hyperlink" Target="http://www.dtcdtc.com/" TargetMode="External"/><Relationship Id="rId6" Type="http://schemas.openxmlformats.org/officeDocument/2006/relationships/image" Target="../media/image1.emf"/><Relationship Id="rId5" Type="http://schemas.openxmlformats.org/officeDocument/2006/relationships/oleObject" Target="../embeddings/oleObject7.bin"/><Relationship Id="rId4" Type="http://schemas.openxmlformats.org/officeDocument/2006/relationships/vmlDrawing" Target="../drawings/vmlDrawing5.vm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7" Type="http://schemas.openxmlformats.org/officeDocument/2006/relationships/ctrlProp" Target="../ctrlProps/ctrlProp8.xml"/><Relationship Id="rId2" Type="http://schemas.openxmlformats.org/officeDocument/2006/relationships/printerSettings" Target="../printerSettings/printerSettings7.bin"/><Relationship Id="rId1" Type="http://schemas.openxmlformats.org/officeDocument/2006/relationships/hyperlink" Target="http://www.dtcdtc.com/" TargetMode="External"/><Relationship Id="rId6" Type="http://schemas.openxmlformats.org/officeDocument/2006/relationships/image" Target="../media/image1.emf"/><Relationship Id="rId5" Type="http://schemas.openxmlformats.org/officeDocument/2006/relationships/oleObject" Target="../embeddings/oleObject8.bin"/><Relationship Id="rId4" Type="http://schemas.openxmlformats.org/officeDocument/2006/relationships/vmlDrawing" Target="../drawings/vmlDrawing6.v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7.xml"/><Relationship Id="rId1" Type="http://schemas.openxmlformats.org/officeDocument/2006/relationships/hyperlink" Target="http://www.dtcdtc.com/" TargetMode="External"/><Relationship Id="rId6" Type="http://schemas.openxmlformats.org/officeDocument/2006/relationships/ctrlProp" Target="../ctrlProps/ctrlProp9.xml"/><Relationship Id="rId5" Type="http://schemas.openxmlformats.org/officeDocument/2006/relationships/image" Target="../media/image1.emf"/><Relationship Id="rId4" Type="http://schemas.openxmlformats.org/officeDocument/2006/relationships/oleObject" Target="../embeddings/oleObject9.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50"/>
  <sheetViews>
    <sheetView topLeftCell="A39" zoomScale="115" zoomScaleNormal="115" workbookViewId="0">
      <selection activeCell="B44" sqref="B44"/>
    </sheetView>
  </sheetViews>
  <sheetFormatPr defaultColWidth="9.140625" defaultRowHeight="15"/>
  <cols>
    <col min="1" max="1" width="4.42578125" customWidth="1"/>
    <col min="2" max="2" width="32.42578125" customWidth="1"/>
    <col min="3" max="3" width="46.7109375" customWidth="1"/>
    <col min="4" max="4" width="8.140625" customWidth="1"/>
    <col min="5" max="5" width="27.85546875" customWidth="1"/>
    <col min="6" max="6" width="15.7109375" customWidth="1"/>
    <col min="7" max="8" width="17" hidden="1" customWidth="1"/>
    <col min="9" max="10" width="11.42578125" hidden="1" customWidth="1"/>
    <col min="11" max="11" width="16" customWidth="1"/>
    <col min="12" max="14" width="8.7109375" customWidth="1"/>
  </cols>
  <sheetData>
    <row r="1" spans="1:10" ht="30" customHeight="1">
      <c r="A1" s="88" t="s">
        <v>89</v>
      </c>
      <c r="B1" s="89"/>
      <c r="C1" s="89"/>
      <c r="D1" s="89"/>
      <c r="E1" s="90"/>
      <c r="H1" s="109" t="s">
        <v>91</v>
      </c>
      <c r="I1" s="109"/>
      <c r="J1" s="13">
        <v>7</v>
      </c>
    </row>
    <row r="2" spans="1:10" ht="30" customHeight="1">
      <c r="A2" s="91"/>
      <c r="B2" s="92"/>
      <c r="C2" s="92"/>
      <c r="D2" s="92"/>
      <c r="E2" s="93"/>
    </row>
    <row r="3" spans="1:10" ht="30" customHeight="1">
      <c r="A3" s="91"/>
      <c r="B3" s="92"/>
      <c r="C3" s="92"/>
      <c r="D3" s="92"/>
      <c r="E3" s="93"/>
    </row>
    <row r="4" spans="1:10" ht="30" customHeight="1">
      <c r="A4" s="91"/>
      <c r="B4" s="92"/>
      <c r="C4" s="92"/>
      <c r="D4" s="92"/>
      <c r="E4" s="93"/>
    </row>
    <row r="5" spans="1:10" ht="14.65" customHeight="1">
      <c r="A5" s="91"/>
      <c r="B5" s="92"/>
      <c r="C5" s="92"/>
      <c r="D5" s="92"/>
      <c r="E5" s="93"/>
    </row>
    <row r="6" spans="1:10" ht="14.65" customHeight="1">
      <c r="A6" s="91"/>
      <c r="B6" s="92"/>
      <c r="C6" s="92"/>
      <c r="D6" s="92"/>
      <c r="E6" s="93"/>
    </row>
    <row r="7" spans="1:10" ht="15" customHeight="1" thickBot="1">
      <c r="A7" s="94"/>
      <c r="B7" s="95"/>
      <c r="C7" s="95"/>
      <c r="D7" s="95"/>
      <c r="E7" s="96"/>
      <c r="G7" s="1" t="s">
        <v>95</v>
      </c>
      <c r="H7" s="1" t="s">
        <v>92</v>
      </c>
      <c r="I7" s="1" t="s">
        <v>93</v>
      </c>
      <c r="J7" s="1" t="s">
        <v>94</v>
      </c>
    </row>
    <row r="8" spans="1:10" ht="30" customHeight="1">
      <c r="A8" s="97">
        <v>1</v>
      </c>
      <c r="B8" s="100" t="s">
        <v>153</v>
      </c>
      <c r="C8" s="101"/>
      <c r="D8" s="101"/>
      <c r="E8" s="102"/>
      <c r="G8" s="1" t="s">
        <v>96</v>
      </c>
      <c r="H8" s="12">
        <v>10.9</v>
      </c>
      <c r="I8" s="12">
        <f>B10*C10/1000000*H8+E10/1000</f>
        <v>3.27</v>
      </c>
      <c r="J8" s="13" t="s">
        <v>118</v>
      </c>
    </row>
    <row r="9" spans="1:10" ht="21" customHeight="1">
      <c r="A9" s="98"/>
      <c r="B9" s="23" t="s">
        <v>166</v>
      </c>
      <c r="C9" s="24" t="s">
        <v>167</v>
      </c>
      <c r="D9" s="110" t="s">
        <v>0</v>
      </c>
      <c r="E9" s="20" t="s">
        <v>174</v>
      </c>
      <c r="F9" s="37"/>
      <c r="G9" s="1" t="s">
        <v>97</v>
      </c>
      <c r="H9" s="12">
        <v>12.2</v>
      </c>
      <c r="I9" s="12">
        <f>B10*C10/1000000*H9+E10/1000</f>
        <v>3.6599999999999997</v>
      </c>
      <c r="J9" s="12">
        <f>IF(J1=2,I9,J10)</f>
        <v>3.5999999999999996</v>
      </c>
    </row>
    <row r="10" spans="1:10" ht="30" customHeight="1" thickBot="1">
      <c r="A10" s="99"/>
      <c r="B10" s="9">
        <v>600</v>
      </c>
      <c r="C10" s="10">
        <v>500</v>
      </c>
      <c r="D10" s="111"/>
      <c r="E10" s="11">
        <v>0</v>
      </c>
      <c r="F10" s="38"/>
      <c r="G10" s="1" t="s">
        <v>98</v>
      </c>
      <c r="H10" s="12">
        <v>12.1</v>
      </c>
      <c r="I10" s="12">
        <f>B10*C10/1000000*H10+E10/1000</f>
        <v>3.63</v>
      </c>
      <c r="J10" s="12">
        <f>IF(J1=3,I10,J11)</f>
        <v>3.5999999999999996</v>
      </c>
    </row>
    <row r="11" spans="1:10" ht="30" customHeight="1">
      <c r="A11" s="97">
        <v>2</v>
      </c>
      <c r="B11" s="100" t="s">
        <v>154</v>
      </c>
      <c r="C11" s="101"/>
      <c r="D11" s="101"/>
      <c r="E11" s="102"/>
      <c r="F11" s="38"/>
      <c r="G11" s="1" t="s">
        <v>99</v>
      </c>
      <c r="H11" s="12">
        <v>14.5</v>
      </c>
      <c r="I11" s="12">
        <f>B10*C10/1000000*H11+E10/1000</f>
        <v>4.3499999999999996</v>
      </c>
      <c r="J11" s="12">
        <f>IF(J1=4,I11,J12)</f>
        <v>3.5999999999999996</v>
      </c>
    </row>
    <row r="12" spans="1:10" ht="21" customHeight="1">
      <c r="A12" s="98"/>
      <c r="B12" s="103"/>
      <c r="C12" s="25" t="s">
        <v>155</v>
      </c>
      <c r="D12" s="105" t="s">
        <v>156</v>
      </c>
      <c r="E12" s="106"/>
      <c r="F12" s="39"/>
      <c r="G12" s="1" t="s">
        <v>114</v>
      </c>
      <c r="H12" s="12">
        <v>16.5</v>
      </c>
      <c r="I12" s="12">
        <f>B10*C10/1000000*H12+E10/1000</f>
        <v>4.95</v>
      </c>
      <c r="J12" s="12">
        <f>IF(J1=5,I12,J13)</f>
        <v>3.5999999999999996</v>
      </c>
    </row>
    <row r="13" spans="1:10" ht="30" customHeight="1" thickBot="1">
      <c r="A13" s="99"/>
      <c r="B13" s="104"/>
      <c r="C13" s="15">
        <f>IF(J1=1,I8,J9)</f>
        <v>3.5999999999999996</v>
      </c>
      <c r="D13" s="107">
        <f>C13*B10</f>
        <v>2160</v>
      </c>
      <c r="E13" s="108"/>
      <c r="F13" s="40"/>
      <c r="G13" s="1" t="s">
        <v>100</v>
      </c>
      <c r="H13" s="12">
        <v>11</v>
      </c>
      <c r="I13" s="12">
        <f>B10*C10/1000000*H13+E10/1000</f>
        <v>3.3</v>
      </c>
      <c r="J13" s="12">
        <f>IF(J1=6,I13,J14)</f>
        <v>3.5999999999999996</v>
      </c>
    </row>
    <row r="14" spans="1:10" ht="22.9" customHeight="1">
      <c r="A14" s="77">
        <v>3</v>
      </c>
      <c r="B14" s="33" t="s">
        <v>170</v>
      </c>
      <c r="C14" s="41" t="s">
        <v>171</v>
      </c>
      <c r="D14" s="73" t="s">
        <v>175</v>
      </c>
      <c r="E14" s="74"/>
      <c r="F14" s="39"/>
      <c r="G14" s="1" t="s">
        <v>101</v>
      </c>
      <c r="H14" s="12">
        <v>12</v>
      </c>
      <c r="I14" s="12">
        <f>B10*C10/1000000*H14+E10/1000</f>
        <v>3.5999999999999996</v>
      </c>
      <c r="J14" s="12">
        <f>IF(J1=7,I14,J15)</f>
        <v>3.5999999999999996</v>
      </c>
    </row>
    <row r="15" spans="1:10" ht="33.6" customHeight="1">
      <c r="A15" s="78"/>
      <c r="B15" s="31" t="s">
        <v>160</v>
      </c>
      <c r="C15" s="42" t="str">
        <f>G17</f>
        <v>SQ02BH03A</v>
      </c>
      <c r="D15" s="75" t="str">
        <f>H17</f>
        <v>SQ02BH03B</v>
      </c>
      <c r="E15" s="76"/>
      <c r="G15" s="1" t="s">
        <v>115</v>
      </c>
      <c r="H15" s="12">
        <v>15</v>
      </c>
      <c r="I15" s="12">
        <f>B10*C10/1000000*H15+E10/1000</f>
        <v>4.5</v>
      </c>
      <c r="J15" s="12" t="e">
        <f>IF(J1=8,I15,J16)</f>
        <v>#REF!</v>
      </c>
    </row>
    <row r="16" spans="1:10" ht="70.5" customHeight="1" thickBot="1">
      <c r="A16" s="79"/>
      <c r="B16" s="34" t="s">
        <v>176</v>
      </c>
      <c r="C16" s="43" t="str">
        <f>G18</f>
        <v/>
      </c>
      <c r="D16" s="71" t="str">
        <f>H18</f>
        <v/>
      </c>
      <c r="E16" s="72"/>
      <c r="G16" s="1" t="s">
        <v>102</v>
      </c>
      <c r="H16" s="12">
        <v>11.2</v>
      </c>
      <c r="I16" s="12">
        <f>B10*C10/1000000*H16+E10/1000</f>
        <v>3.36</v>
      </c>
      <c r="J16" s="12" t="e">
        <f>IF(J1=9,I16,#REF!)</f>
        <v>#REF!</v>
      </c>
    </row>
    <row r="17" spans="1:10" ht="91.5" customHeight="1">
      <c r="A17" s="98">
        <v>4</v>
      </c>
      <c r="B17" s="115" t="s">
        <v>178</v>
      </c>
      <c r="C17" s="116"/>
      <c r="D17" s="116"/>
      <c r="E17" s="117"/>
      <c r="G17" t="str">
        <f>IF(D13&lt;480,"the door is too small",IF(D13&lt;960,"SQ02BL03A",IF(D13&lt;1600,"SQ02BM03A",IF(D13&lt;2500,"SQ02BH03A",IF(D13&lt;=4500,"SQ02BC03A","")))))</f>
        <v>SQ02BH03A</v>
      </c>
      <c r="H17" t="str">
        <f>IF(D13&lt;480,"too small!",IF(D13&lt;960,"SQ02BL03B",IF(D13&lt;1600,"SQ02BM03B",IF(D13&lt;2500,"SQ02BH03B",IF(D13&lt;=4500,"SQ02BC03B","")))))</f>
        <v>SQ02BH03B</v>
      </c>
    </row>
    <row r="18" spans="1:10" ht="22.9" customHeight="1">
      <c r="A18" s="98"/>
      <c r="B18" s="27" t="s">
        <v>163</v>
      </c>
      <c r="C18" s="28" t="s">
        <v>173</v>
      </c>
      <c r="D18" s="118" t="s">
        <v>164</v>
      </c>
      <c r="E18" s="119"/>
      <c r="G18" t="str">
        <f>IF(D13&gt;6750,"the door is too big, out of range", IF(D13&gt;5400,"3pcs of SQ02BC03A",IF(D13&gt;4500,"3pcs of SQ02BH03A",IF(D13&lt;=4500,""))))</f>
        <v/>
      </c>
      <c r="H18" t="str">
        <f>IF(D13&gt;6750,"the door is too big, out of range", IF(D13&gt;5400,"3pcs of SQ02BC03B",IF(D13&gt;4500,"3pcs of SQ02BH03B",IF(D13&lt;=4500,""))))</f>
        <v/>
      </c>
    </row>
    <row r="19" spans="1:10" ht="21" customHeight="1">
      <c r="A19" s="98"/>
      <c r="B19" s="16" t="s">
        <v>71</v>
      </c>
      <c r="C19" s="5" t="s">
        <v>75</v>
      </c>
      <c r="D19" s="86">
        <v>865</v>
      </c>
      <c r="E19" s="87"/>
    </row>
    <row r="20" spans="1:10" ht="21" customHeight="1">
      <c r="A20" s="98"/>
      <c r="B20" s="16" t="s">
        <v>72</v>
      </c>
      <c r="C20" s="5" t="s">
        <v>76</v>
      </c>
      <c r="D20" s="86">
        <v>1655</v>
      </c>
      <c r="E20" s="87"/>
    </row>
    <row r="21" spans="1:10" ht="21" customHeight="1">
      <c r="A21" s="98"/>
      <c r="B21" s="16" t="s">
        <v>73</v>
      </c>
      <c r="C21" s="5" t="s">
        <v>77</v>
      </c>
      <c r="D21" s="86">
        <v>2600</v>
      </c>
      <c r="E21" s="87"/>
    </row>
    <row r="22" spans="1:10" ht="21" customHeight="1" thickBot="1">
      <c r="A22" s="99"/>
      <c r="B22" s="17" t="s">
        <v>74</v>
      </c>
      <c r="C22" s="5" t="s">
        <v>78</v>
      </c>
      <c r="D22" s="120">
        <v>3500</v>
      </c>
      <c r="E22" s="121"/>
    </row>
    <row r="23" spans="1:10">
      <c r="A23" s="80" t="s">
        <v>105</v>
      </c>
      <c r="B23" s="81"/>
      <c r="C23" s="81"/>
      <c r="D23" s="81"/>
      <c r="E23" s="82"/>
    </row>
    <row r="24" spans="1:10" ht="15.75" thickBot="1">
      <c r="A24" s="83"/>
      <c r="B24" s="84"/>
      <c r="C24" s="84"/>
      <c r="D24" s="84"/>
      <c r="E24" s="85"/>
      <c r="H24" s="109" t="s">
        <v>116</v>
      </c>
      <c r="I24" s="109"/>
      <c r="J24" s="13">
        <v>1</v>
      </c>
    </row>
    <row r="25" spans="1:10" ht="30" customHeight="1"/>
    <row r="26" spans="1:10" ht="30" customHeight="1" thickBot="1"/>
    <row r="27" spans="1:10" ht="30" customHeight="1">
      <c r="A27" s="88" t="s">
        <v>165</v>
      </c>
      <c r="B27" s="89"/>
      <c r="C27" s="89"/>
      <c r="D27" s="89"/>
      <c r="E27" s="90"/>
    </row>
    <row r="28" spans="1:10" ht="30" customHeight="1">
      <c r="A28" s="91"/>
      <c r="B28" s="92"/>
      <c r="C28" s="92"/>
      <c r="D28" s="92"/>
      <c r="E28" s="93"/>
    </row>
    <row r="29" spans="1:10" ht="14.65" customHeight="1">
      <c r="A29" s="91"/>
      <c r="B29" s="92"/>
      <c r="C29" s="92"/>
      <c r="D29" s="92"/>
      <c r="E29" s="93"/>
    </row>
    <row r="30" spans="1:10" ht="14.65" customHeight="1">
      <c r="A30" s="91"/>
      <c r="B30" s="92"/>
      <c r="C30" s="92"/>
      <c r="D30" s="92"/>
      <c r="E30" s="93"/>
      <c r="G30" s="1" t="s">
        <v>95</v>
      </c>
      <c r="H30" s="1" t="s">
        <v>92</v>
      </c>
      <c r="I30" s="1" t="s">
        <v>93</v>
      </c>
      <c r="J30" s="1" t="s">
        <v>94</v>
      </c>
    </row>
    <row r="31" spans="1:10" ht="15" customHeight="1">
      <c r="A31" s="91"/>
      <c r="B31" s="92"/>
      <c r="C31" s="92"/>
      <c r="D31" s="92"/>
      <c r="E31" s="93"/>
      <c r="G31" s="1" t="s">
        <v>96</v>
      </c>
      <c r="H31" s="12">
        <v>10.9</v>
      </c>
      <c r="I31" s="12">
        <f>B36*C36/1000000*H31+E36/1000</f>
        <v>3.27</v>
      </c>
      <c r="J31" s="13" t="s">
        <v>4</v>
      </c>
    </row>
    <row r="32" spans="1:10" ht="30" customHeight="1">
      <c r="A32" s="91"/>
      <c r="B32" s="92"/>
      <c r="C32" s="92"/>
      <c r="D32" s="92"/>
      <c r="E32" s="93"/>
      <c r="G32" s="1" t="s">
        <v>97</v>
      </c>
      <c r="H32" s="12">
        <v>12.2</v>
      </c>
      <c r="I32" s="12">
        <f>B36*C36/1000000*H32+E36/1000</f>
        <v>3.6599999999999997</v>
      </c>
      <c r="J32" s="12">
        <f>IF(J24=2,I32,J33)</f>
        <v>0</v>
      </c>
    </row>
    <row r="33" spans="1:11" ht="30" customHeight="1" thickBot="1">
      <c r="A33" s="94"/>
      <c r="B33" s="95"/>
      <c r="C33" s="95"/>
      <c r="D33" s="95"/>
      <c r="E33" s="96"/>
      <c r="G33" s="1" t="s">
        <v>98</v>
      </c>
      <c r="H33" s="12">
        <v>12.1</v>
      </c>
      <c r="I33" s="12">
        <f>B36*C36/1000000*H33+E36/1000</f>
        <v>3.63</v>
      </c>
      <c r="J33" s="12">
        <f>IF(J24=3,I33,J34)</f>
        <v>0</v>
      </c>
    </row>
    <row r="34" spans="1:11" ht="30" customHeight="1">
      <c r="A34" s="98">
        <v>1</v>
      </c>
      <c r="B34" s="112" t="s">
        <v>153</v>
      </c>
      <c r="C34" s="113"/>
      <c r="D34" s="113"/>
      <c r="E34" s="114"/>
      <c r="F34" s="22"/>
      <c r="G34" s="1" t="s">
        <v>99</v>
      </c>
      <c r="H34" s="12">
        <v>14.5</v>
      </c>
      <c r="I34" s="12">
        <f>B36*C36/1000000*H34+E36/1000</f>
        <v>4.3499999999999996</v>
      </c>
      <c r="J34" s="12">
        <f>IF(J24=4,I34,J35)</f>
        <v>0</v>
      </c>
      <c r="K34" s="29"/>
    </row>
    <row r="35" spans="1:11" ht="30" customHeight="1">
      <c r="A35" s="98"/>
      <c r="B35" s="23" t="s">
        <v>166</v>
      </c>
      <c r="C35" s="24" t="s">
        <v>167</v>
      </c>
      <c r="D35" s="110" t="s">
        <v>0</v>
      </c>
      <c r="E35" s="20" t="s">
        <v>168</v>
      </c>
      <c r="F35" s="22"/>
      <c r="G35" s="1" t="s">
        <v>114</v>
      </c>
      <c r="H35" s="12">
        <v>16.5</v>
      </c>
      <c r="I35" s="12">
        <f>B36*C36/1000000*H35+E36/1000</f>
        <v>4.95</v>
      </c>
      <c r="J35" s="12">
        <f>IF(J24=5,I35,J36)</f>
        <v>0</v>
      </c>
      <c r="K35" s="29"/>
    </row>
    <row r="36" spans="1:11" ht="36.75" customHeight="1" thickBot="1">
      <c r="A36" s="99"/>
      <c r="B36" s="9">
        <v>600</v>
      </c>
      <c r="C36" s="10">
        <v>500</v>
      </c>
      <c r="D36" s="111"/>
      <c r="E36" s="11">
        <v>0</v>
      </c>
      <c r="G36" s="1" t="s">
        <v>100</v>
      </c>
      <c r="H36" s="12">
        <v>11</v>
      </c>
      <c r="I36" s="12">
        <f>B36*C36/1000000*H36+E36/1000</f>
        <v>3.3</v>
      </c>
      <c r="J36" s="12">
        <f>IF(J24=6,I36,J37)</f>
        <v>0</v>
      </c>
    </row>
    <row r="37" spans="1:11" ht="30" customHeight="1">
      <c r="A37" s="97">
        <v>2</v>
      </c>
      <c r="B37" s="100" t="s">
        <v>154</v>
      </c>
      <c r="C37" s="101"/>
      <c r="D37" s="101"/>
      <c r="E37" s="102"/>
      <c r="G37" s="1" t="s">
        <v>101</v>
      </c>
      <c r="H37" s="12">
        <v>12</v>
      </c>
      <c r="I37" s="12">
        <f>B36*C36/1000000*H37+E36/1000</f>
        <v>3.5999999999999996</v>
      </c>
      <c r="J37" s="12">
        <f>IF(J24=7,I37,J38)</f>
        <v>0</v>
      </c>
    </row>
    <row r="38" spans="1:11" ht="29.45" customHeight="1">
      <c r="A38" s="98"/>
      <c r="B38" s="103"/>
      <c r="C38" s="26" t="s">
        <v>155</v>
      </c>
      <c r="D38" s="105" t="s">
        <v>169</v>
      </c>
      <c r="E38" s="106"/>
      <c r="G38" s="1" t="s">
        <v>115</v>
      </c>
      <c r="H38" s="12">
        <v>15</v>
      </c>
      <c r="I38" s="12">
        <f>B36*C36/1000000*H38+E36/1000</f>
        <v>4.5</v>
      </c>
      <c r="J38" s="12">
        <f>IF(J24=8,I38,J39)</f>
        <v>0</v>
      </c>
    </row>
    <row r="39" spans="1:11" ht="25.15" customHeight="1" thickBot="1">
      <c r="A39" s="99"/>
      <c r="B39" s="104"/>
      <c r="C39" s="15">
        <f>IF(J24=1,I31,J32)</f>
        <v>3.27</v>
      </c>
      <c r="D39" s="107">
        <f>C39*B36</f>
        <v>1962</v>
      </c>
      <c r="E39" s="108"/>
      <c r="G39" s="1" t="s">
        <v>102</v>
      </c>
      <c r="H39" s="12">
        <v>11.2</v>
      </c>
      <c r="I39" s="12">
        <f>B36*C36/1000000*H39+E36/1000</f>
        <v>3.36</v>
      </c>
      <c r="J39" s="12">
        <f>IF(J24=9,I39,J40)</f>
        <v>0</v>
      </c>
    </row>
    <row r="40" spans="1:11" ht="25.9" customHeight="1">
      <c r="A40" s="77">
        <v>3</v>
      </c>
      <c r="B40" s="33" t="s">
        <v>170</v>
      </c>
      <c r="C40" s="41" t="s">
        <v>171</v>
      </c>
      <c r="D40" s="73" t="s">
        <v>172</v>
      </c>
      <c r="E40" s="74"/>
      <c r="G40" t="str">
        <f>IF(D39&lt;580,"the door is too small",IF(D39&lt;1060,"SQ2FBL03A",IF(D39&lt;1800,"SQ2FBM03A",IF(D39&lt;2600,"SQ2FBH03A",IF(D39&lt;=5000,"SQ2FBC03A","")))))</f>
        <v>SQ2FBH03A</v>
      </c>
      <c r="H40" t="str">
        <f>IF(D39&lt;580,"too small!",IF(D39&lt;1060,"SQ2FBL03B",IF(D39&lt;1800,"SQ2FBM03B",IF(D39&lt;2600,"SQ2FBH03B",IF(D39&lt;=5000,"SQ2FBC03B","")))))</f>
        <v>SQ2FBH03B</v>
      </c>
    </row>
    <row r="41" spans="1:11" ht="32.450000000000003" customHeight="1">
      <c r="A41" s="78"/>
      <c r="B41" s="31" t="s">
        <v>160</v>
      </c>
      <c r="C41" s="42" t="str">
        <f>G40</f>
        <v>SQ2FBH03A</v>
      </c>
      <c r="D41" s="75" t="str">
        <f>H40</f>
        <v>SQ2FBH03B</v>
      </c>
      <c r="E41" s="76"/>
      <c r="G41" t="str">
        <f>IF(D39&gt;7500,"the door is too big, out of range", IF(D39&gt;6000,"3pcs of SQ2FBC03A",IF(D39&gt;5000,"3pcs of SQ2FBH03A",IF(D39&lt;=5000,""))))</f>
        <v/>
      </c>
      <c r="H41" t="str">
        <f>IF(D39&gt;7500,"the door is too big, out of range", IF(D39&gt;6000,"3pcs of SQ2FBC03B",IF(D39&gt;5000,"3pcs of SQ2FBH03B",IF(D39&lt;=5000,""))))</f>
        <v/>
      </c>
    </row>
    <row r="42" spans="1:11" ht="108" customHeight="1" thickBot="1">
      <c r="A42" s="79"/>
      <c r="B42" s="34" t="s">
        <v>161</v>
      </c>
      <c r="C42" s="43" t="str">
        <f>G41</f>
        <v/>
      </c>
      <c r="D42" s="71" t="str">
        <f>H41</f>
        <v/>
      </c>
      <c r="E42" s="72"/>
    </row>
    <row r="43" spans="1:11" ht="78" customHeight="1">
      <c r="A43" s="97">
        <v>4</v>
      </c>
      <c r="B43" s="122" t="s">
        <v>177</v>
      </c>
      <c r="C43" s="123"/>
      <c r="D43" s="123"/>
      <c r="E43" s="124"/>
    </row>
    <row r="44" spans="1:11">
      <c r="A44" s="98"/>
      <c r="B44" s="27" t="s">
        <v>163</v>
      </c>
      <c r="C44" s="28" t="s">
        <v>173</v>
      </c>
      <c r="D44" s="118" t="s">
        <v>164</v>
      </c>
      <c r="E44" s="119"/>
    </row>
    <row r="45" spans="1:11">
      <c r="A45" s="98"/>
      <c r="B45" s="16" t="s">
        <v>82</v>
      </c>
      <c r="C45" s="5" t="s">
        <v>113</v>
      </c>
      <c r="D45" s="86">
        <v>965</v>
      </c>
      <c r="E45" s="87"/>
    </row>
    <row r="46" spans="1:11">
      <c r="A46" s="98"/>
      <c r="B46" s="16" t="s">
        <v>83</v>
      </c>
      <c r="C46" s="5" t="s">
        <v>86</v>
      </c>
      <c r="D46" s="86">
        <v>1755</v>
      </c>
      <c r="E46" s="87"/>
    </row>
    <row r="47" spans="1:11">
      <c r="A47" s="98"/>
      <c r="B47" s="16" t="s">
        <v>84</v>
      </c>
      <c r="C47" s="5" t="s">
        <v>87</v>
      </c>
      <c r="D47" s="86">
        <v>2900</v>
      </c>
      <c r="E47" s="87"/>
    </row>
    <row r="48" spans="1:11" ht="15.75" thickBot="1">
      <c r="A48" s="99"/>
      <c r="B48" s="17" t="s">
        <v>85</v>
      </c>
      <c r="C48" s="5" t="s">
        <v>88</v>
      </c>
      <c r="D48" s="120">
        <v>3800</v>
      </c>
      <c r="E48" s="121"/>
    </row>
    <row r="49" spans="1:5">
      <c r="A49" s="80" t="s">
        <v>105</v>
      </c>
      <c r="B49" s="81"/>
      <c r="C49" s="81"/>
      <c r="D49" s="81"/>
      <c r="E49" s="82"/>
    </row>
    <row r="50" spans="1:5" ht="15.75" thickBot="1">
      <c r="A50" s="83"/>
      <c r="B50" s="84"/>
      <c r="C50" s="84"/>
      <c r="D50" s="84"/>
      <c r="E50" s="85"/>
    </row>
  </sheetData>
  <mergeCells count="44">
    <mergeCell ref="D47:E47"/>
    <mergeCell ref="D48:E48"/>
    <mergeCell ref="A49:E50"/>
    <mergeCell ref="A37:A39"/>
    <mergeCell ref="B37:E37"/>
    <mergeCell ref="B38:B39"/>
    <mergeCell ref="D38:E38"/>
    <mergeCell ref="D39:E39"/>
    <mergeCell ref="A43:A48"/>
    <mergeCell ref="B43:E43"/>
    <mergeCell ref="D44:E44"/>
    <mergeCell ref="D45:E45"/>
    <mergeCell ref="D46:E46"/>
    <mergeCell ref="A40:A42"/>
    <mergeCell ref="D40:E40"/>
    <mergeCell ref="D41:E41"/>
    <mergeCell ref="H24:I24"/>
    <mergeCell ref="A34:A36"/>
    <mergeCell ref="B34:E34"/>
    <mergeCell ref="D35:D36"/>
    <mergeCell ref="A17:A22"/>
    <mergeCell ref="B17:E17"/>
    <mergeCell ref="D18:E18"/>
    <mergeCell ref="D19:E19"/>
    <mergeCell ref="D20:E20"/>
    <mergeCell ref="D22:E22"/>
    <mergeCell ref="A1:E7"/>
    <mergeCell ref="H1:I1"/>
    <mergeCell ref="A8:A10"/>
    <mergeCell ref="B8:E8"/>
    <mergeCell ref="D9:D10"/>
    <mergeCell ref="A11:A13"/>
    <mergeCell ref="B11:E11"/>
    <mergeCell ref="B12:B13"/>
    <mergeCell ref="D12:E12"/>
    <mergeCell ref="D13:E13"/>
    <mergeCell ref="D42:E42"/>
    <mergeCell ref="D14:E14"/>
    <mergeCell ref="D15:E15"/>
    <mergeCell ref="D16:E16"/>
    <mergeCell ref="A14:A16"/>
    <mergeCell ref="A23:E24"/>
    <mergeCell ref="D21:E21"/>
    <mergeCell ref="A27:E33"/>
  </mergeCells>
  <phoneticPr fontId="14" type="noConversion"/>
  <hyperlinks>
    <hyperlink ref="A23" r:id="rId1" xr:uid="{00000000-0004-0000-0000-000000000000}"/>
    <hyperlink ref="A49" r:id="rId2" xr:uid="{1D1E841C-8F03-43C9-A475-A97A38665EC1}"/>
  </hyperlinks>
  <pageMargins left="0.25" right="0.25" top="0.75" bottom="0.75" header="0.3" footer="0.3"/>
  <pageSetup paperSize="9" orientation="portrait" r:id="rId3"/>
  <drawing r:id="rId4"/>
  <legacyDrawing r:id="rId5"/>
  <oleObjects>
    <mc:AlternateContent xmlns:mc="http://schemas.openxmlformats.org/markup-compatibility/2006">
      <mc:Choice Requires="x14">
        <oleObject progId="CorelDraw.Graphic.18" shapeId="7170" r:id="rId6">
          <objectPr defaultSize="0" autoPict="0" r:id="rId7">
            <anchor moveWithCells="1">
              <from>
                <xdr:col>0</xdr:col>
                <xdr:colOff>152400</xdr:colOff>
                <xdr:row>0</xdr:row>
                <xdr:rowOff>161925</xdr:rowOff>
              </from>
              <to>
                <xdr:col>1</xdr:col>
                <xdr:colOff>1638300</xdr:colOff>
                <xdr:row>2</xdr:row>
                <xdr:rowOff>19050</xdr:rowOff>
              </to>
            </anchor>
          </objectPr>
        </oleObject>
      </mc:Choice>
      <mc:Fallback>
        <oleObject progId="CorelDraw.Graphic.18" shapeId="7170" r:id="rId6"/>
      </mc:Fallback>
    </mc:AlternateContent>
    <mc:AlternateContent xmlns:mc="http://schemas.openxmlformats.org/markup-compatibility/2006">
      <mc:Choice Requires="x14">
        <oleObject progId="CorelDraw.Graphic.18" shapeId="7171" r:id="rId8">
          <objectPr defaultSize="0" autoPict="0" r:id="rId7">
            <anchor moveWithCells="1">
              <from>
                <xdr:col>0</xdr:col>
                <xdr:colOff>152400</xdr:colOff>
                <xdr:row>26</xdr:row>
                <xdr:rowOff>161925</xdr:rowOff>
              </from>
              <to>
                <xdr:col>1</xdr:col>
                <xdr:colOff>1638300</xdr:colOff>
                <xdr:row>28</xdr:row>
                <xdr:rowOff>9525</xdr:rowOff>
              </to>
            </anchor>
          </objectPr>
        </oleObject>
      </mc:Choice>
      <mc:Fallback>
        <oleObject progId="CorelDraw.Graphic.18" shapeId="7171" r:id="rId8"/>
      </mc:Fallback>
    </mc:AlternateContent>
  </oleObjects>
  <mc:AlternateContent xmlns:mc="http://schemas.openxmlformats.org/markup-compatibility/2006">
    <mc:Choice Requires="x14">
      <controls>
        <mc:AlternateContent xmlns:mc="http://schemas.openxmlformats.org/markup-compatibility/2006">
          <mc:Choice Requires="x14">
            <control shapeId="7169" r:id="rId9" name="Drop Down 1">
              <controlPr defaultSize="0" autoLine="0" autoPict="0">
                <anchor>
                  <from>
                    <xdr:col>1</xdr:col>
                    <xdr:colOff>47625</xdr:colOff>
                    <xdr:row>11</xdr:row>
                    <xdr:rowOff>76200</xdr:rowOff>
                  </from>
                  <to>
                    <xdr:col>1</xdr:col>
                    <xdr:colOff>2152650</xdr:colOff>
                    <xdr:row>12</xdr:row>
                    <xdr:rowOff>295275</xdr:rowOff>
                  </to>
                </anchor>
              </controlPr>
            </control>
          </mc:Choice>
        </mc:AlternateContent>
        <mc:AlternateContent xmlns:mc="http://schemas.openxmlformats.org/markup-compatibility/2006">
          <mc:Choice Requires="x14">
            <control shapeId="7172" r:id="rId10" name="Drop Down 4">
              <controlPr defaultSize="0" autoLine="0" autoPict="0">
                <anchor>
                  <from>
                    <xdr:col>1</xdr:col>
                    <xdr:colOff>95250</xdr:colOff>
                    <xdr:row>34</xdr:row>
                    <xdr:rowOff>323850</xdr:rowOff>
                  </from>
                  <to>
                    <xdr:col>1</xdr:col>
                    <xdr:colOff>2152650</xdr:colOff>
                    <xdr:row>35</xdr:row>
                    <xdr:rowOff>438150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23"/>
  <sheetViews>
    <sheetView topLeftCell="A15" zoomScale="115" zoomScaleNormal="115" workbookViewId="0">
      <selection activeCell="B24" sqref="B24"/>
    </sheetView>
  </sheetViews>
  <sheetFormatPr defaultColWidth="9.140625" defaultRowHeight="15"/>
  <cols>
    <col min="1" max="1" width="4.42578125" customWidth="1"/>
    <col min="2" max="2" width="32.42578125" customWidth="1"/>
    <col min="3" max="3" width="30.42578125" customWidth="1"/>
    <col min="4" max="4" width="8.140625" customWidth="1"/>
    <col min="5" max="5" width="23.42578125" customWidth="1"/>
    <col min="6" max="6" width="18.140625" customWidth="1"/>
    <col min="7" max="7" width="23.42578125" hidden="1" customWidth="1"/>
    <col min="8" max="8" width="14.7109375" hidden="1" customWidth="1"/>
    <col min="9" max="9" width="16.28515625" hidden="1" customWidth="1"/>
    <col min="10" max="10" width="24.42578125" hidden="1" customWidth="1"/>
    <col min="11" max="11" width="28.28515625" customWidth="1"/>
    <col min="12" max="14" width="8.7109375" customWidth="1"/>
  </cols>
  <sheetData>
    <row r="1" spans="1:10" ht="30" customHeight="1">
      <c r="A1" s="125" t="s">
        <v>79</v>
      </c>
      <c r="B1" s="89"/>
      <c r="C1" s="89"/>
      <c r="D1" s="89"/>
      <c r="E1" s="90"/>
      <c r="H1" s="109" t="s">
        <v>91</v>
      </c>
      <c r="I1" s="109"/>
      <c r="J1" s="13">
        <v>5</v>
      </c>
    </row>
    <row r="2" spans="1:10" ht="30" customHeight="1">
      <c r="A2" s="91"/>
      <c r="B2" s="92"/>
      <c r="C2" s="92"/>
      <c r="D2" s="92"/>
      <c r="E2" s="93"/>
    </row>
    <row r="3" spans="1:10" ht="30" customHeight="1">
      <c r="A3" s="91"/>
      <c r="B3" s="92"/>
      <c r="C3" s="92"/>
      <c r="D3" s="92"/>
      <c r="E3" s="93"/>
    </row>
    <row r="4" spans="1:10" ht="30" customHeight="1">
      <c r="A4" s="91"/>
      <c r="B4" s="92"/>
      <c r="C4" s="92"/>
      <c r="D4" s="92"/>
      <c r="E4" s="93"/>
    </row>
    <row r="5" spans="1:10" ht="14.65" customHeight="1">
      <c r="A5" s="91"/>
      <c r="B5" s="92"/>
      <c r="C5" s="92"/>
      <c r="D5" s="92"/>
      <c r="E5" s="93"/>
    </row>
    <row r="6" spans="1:10" ht="14.65" customHeight="1">
      <c r="A6" s="91"/>
      <c r="B6" s="92"/>
      <c r="C6" s="92"/>
      <c r="D6" s="92"/>
      <c r="E6" s="93"/>
    </row>
    <row r="7" spans="1:10" ht="15" customHeight="1" thickBot="1">
      <c r="A7" s="94"/>
      <c r="B7" s="95"/>
      <c r="C7" s="95"/>
      <c r="D7" s="95"/>
      <c r="E7" s="96"/>
      <c r="G7" s="1" t="s">
        <v>95</v>
      </c>
      <c r="H7" s="1" t="s">
        <v>92</v>
      </c>
      <c r="I7" s="1" t="s">
        <v>93</v>
      </c>
      <c r="J7" s="1" t="s">
        <v>94</v>
      </c>
    </row>
    <row r="8" spans="1:10" ht="30" customHeight="1">
      <c r="A8" s="98">
        <v>1</v>
      </c>
      <c r="B8" s="112" t="s">
        <v>153</v>
      </c>
      <c r="C8" s="113"/>
      <c r="D8" s="113"/>
      <c r="E8" s="114"/>
      <c r="G8" s="1" t="s">
        <v>96</v>
      </c>
      <c r="H8" s="12">
        <v>10.9</v>
      </c>
      <c r="I8" s="12">
        <f>B10*C10/1000000*H8+E10/1000</f>
        <v>3.27</v>
      </c>
      <c r="J8" s="13" t="s">
        <v>4</v>
      </c>
    </row>
    <row r="9" spans="1:10">
      <c r="A9" s="98"/>
      <c r="B9" s="23" t="s">
        <v>179</v>
      </c>
      <c r="C9" s="24" t="s">
        <v>167</v>
      </c>
      <c r="D9" s="110" t="s">
        <v>0</v>
      </c>
      <c r="E9" s="21" t="s">
        <v>174</v>
      </c>
      <c r="G9" s="1" t="s">
        <v>97</v>
      </c>
      <c r="H9" s="12">
        <v>12.2</v>
      </c>
      <c r="I9" s="12">
        <f>B10*C10/1000000*H9+E10/1000</f>
        <v>3.6599999999999997</v>
      </c>
      <c r="J9" s="12">
        <f>IF(J1=2,I9,J10)</f>
        <v>4.95</v>
      </c>
    </row>
    <row r="10" spans="1:10" ht="30" customHeight="1" thickBot="1">
      <c r="A10" s="99"/>
      <c r="B10" s="9">
        <v>600</v>
      </c>
      <c r="C10" s="10">
        <v>500</v>
      </c>
      <c r="D10" s="111"/>
      <c r="E10" s="11">
        <v>0</v>
      </c>
      <c r="G10" s="1" t="s">
        <v>98</v>
      </c>
      <c r="H10" s="12">
        <v>12.1</v>
      </c>
      <c r="I10" s="12">
        <f>B10*C10/1000000*H10+E10/1000</f>
        <v>3.63</v>
      </c>
      <c r="J10" s="12">
        <f>IF(J1=3,I10,J11)</f>
        <v>4.95</v>
      </c>
    </row>
    <row r="11" spans="1:10" ht="51.75" customHeight="1">
      <c r="A11" s="97">
        <v>2</v>
      </c>
      <c r="B11" s="122" t="s">
        <v>180</v>
      </c>
      <c r="C11" s="123"/>
      <c r="D11" s="123"/>
      <c r="E11" s="124"/>
      <c r="G11" s="1" t="s">
        <v>99</v>
      </c>
      <c r="H11" s="12">
        <v>14.5</v>
      </c>
      <c r="I11" s="12">
        <f>B10*C10/1000000*H11+E10/1000</f>
        <v>4.3499999999999996</v>
      </c>
      <c r="J11" s="12">
        <f>IF(J1=4,I11,J12)</f>
        <v>4.95</v>
      </c>
    </row>
    <row r="12" spans="1:10" ht="25.9" customHeight="1">
      <c r="A12" s="98"/>
      <c r="B12" s="103"/>
      <c r="C12" s="25" t="s">
        <v>103</v>
      </c>
      <c r="D12" s="105" t="s">
        <v>104</v>
      </c>
      <c r="E12" s="106"/>
      <c r="G12" s="1" t="s">
        <v>114</v>
      </c>
      <c r="H12" s="12">
        <v>16.5</v>
      </c>
      <c r="I12" s="12">
        <f>B10*C10/1000000*H12+E10/1000</f>
        <v>4.95</v>
      </c>
      <c r="J12" s="12">
        <f>IF(J1=5,I12,J13)</f>
        <v>4.95</v>
      </c>
    </row>
    <row r="13" spans="1:10" ht="30" customHeight="1" thickBot="1">
      <c r="A13" s="99"/>
      <c r="B13" s="104"/>
      <c r="C13" s="15">
        <f>IF(J1=1,I8,J9)</f>
        <v>4.95</v>
      </c>
      <c r="D13" s="107">
        <f>C13*B10</f>
        <v>2970</v>
      </c>
      <c r="E13" s="108"/>
      <c r="F13" s="29"/>
      <c r="G13" s="1" t="s">
        <v>100</v>
      </c>
      <c r="H13" s="12">
        <v>11</v>
      </c>
      <c r="I13" s="12">
        <f>B10*C10/1000000*H13+E10/1000</f>
        <v>3.3</v>
      </c>
      <c r="J13" s="12" t="e">
        <f>IF(J1=6,I13,J14)</f>
        <v>#REF!</v>
      </c>
    </row>
    <row r="14" spans="1:10" ht="29.45" customHeight="1">
      <c r="A14" s="77">
        <v>3</v>
      </c>
      <c r="B14" s="33" t="s">
        <v>170</v>
      </c>
      <c r="C14" s="41" t="s">
        <v>171</v>
      </c>
      <c r="D14" s="73" t="s">
        <v>181</v>
      </c>
      <c r="E14" s="74"/>
      <c r="F14" s="29"/>
      <c r="G14" s="1" t="s">
        <v>101</v>
      </c>
      <c r="H14" s="12">
        <v>12</v>
      </c>
      <c r="I14" s="12">
        <f>B10*C10/1000000*H14+E10/1000</f>
        <v>3.5999999999999996</v>
      </c>
      <c r="J14" s="12" t="e">
        <f>IF(J1=7,I14,J15)</f>
        <v>#REF!</v>
      </c>
    </row>
    <row r="15" spans="1:10" ht="34.15" customHeight="1">
      <c r="A15" s="78"/>
      <c r="B15" s="31" t="s">
        <v>182</v>
      </c>
      <c r="C15" s="42" t="str">
        <f>G17</f>
        <v>SQ00AH02A</v>
      </c>
      <c r="D15" s="75" t="str">
        <f>H17</f>
        <v>SQ00AH02B</v>
      </c>
      <c r="E15" s="76"/>
      <c r="G15" s="1" t="s">
        <v>115</v>
      </c>
      <c r="H15" s="12">
        <v>15</v>
      </c>
      <c r="I15" s="12">
        <f>B10*C10/1000000*H15+E10/1000</f>
        <v>4.5</v>
      </c>
      <c r="J15" s="12" t="e">
        <f>IF(J1=8,I15,J16)</f>
        <v>#REF!</v>
      </c>
    </row>
    <row r="16" spans="1:10" ht="34.15" customHeight="1" thickBot="1">
      <c r="A16" s="79"/>
      <c r="B16" s="34" t="s">
        <v>183</v>
      </c>
      <c r="C16" s="43" t="str">
        <f>G18</f>
        <v/>
      </c>
      <c r="D16" s="71" t="str">
        <f>H18</f>
        <v/>
      </c>
      <c r="E16" s="72"/>
      <c r="G16" s="1" t="s">
        <v>102</v>
      </c>
      <c r="H16" s="12">
        <v>11.2</v>
      </c>
      <c r="I16" s="12">
        <f>B10*C10/1000000*H16+E10/1000</f>
        <v>3.36</v>
      </c>
      <c r="J16" s="12" t="e">
        <f>IF(J1=9,I16,#REF!)</f>
        <v>#REF!</v>
      </c>
    </row>
    <row r="17" spans="1:8" ht="90" customHeight="1">
      <c r="A17" s="97">
        <v>4</v>
      </c>
      <c r="B17" s="122" t="s">
        <v>184</v>
      </c>
      <c r="C17" s="123"/>
      <c r="D17" s="123"/>
      <c r="E17" s="124"/>
      <c r="G17" s="29" t="str">
        <f>IF(D13&lt;580,"the door is too small",IF(D13&lt;960,"SQ00AL02A",IF(D13&lt;1800,"SQ00AM02A",IF(D13&lt;=3500,"SQ00AH02A",""))))</f>
        <v>SQ00AH02A</v>
      </c>
      <c r="H17" s="29" t="str">
        <f>IF(D13&lt;580,"the door is too small",IF(D13&lt;960,"SQ00AL02B",IF(D13&lt;1800,"SQ00AM02B",IF(D13&lt;=3500,"SQ00AH02B",""))))</f>
        <v>SQ00AH02B</v>
      </c>
    </row>
    <row r="18" spans="1:8" ht="15" customHeight="1">
      <c r="A18" s="98"/>
      <c r="B18" s="27" t="s">
        <v>185</v>
      </c>
      <c r="C18" s="28" t="s">
        <v>186</v>
      </c>
      <c r="D18" s="118" t="s">
        <v>164</v>
      </c>
      <c r="E18" s="119"/>
      <c r="G18" t="str">
        <f>IF(D13&gt;5250,"the door is too big, out of range",IF(D13&gt;3500,"3pcs of SQ00AH02A",""))</f>
        <v/>
      </c>
      <c r="H18" t="str">
        <f>IF(D13&gt;5250,"the door is too big, out of range",IF(D13&gt;3500,"3pcs of SQ00AH02B",""))</f>
        <v/>
      </c>
    </row>
    <row r="19" spans="1:8" ht="15" customHeight="1">
      <c r="A19" s="98"/>
      <c r="B19" s="16" t="s">
        <v>5</v>
      </c>
      <c r="C19" s="5" t="s">
        <v>1</v>
      </c>
      <c r="D19" s="86">
        <v>915</v>
      </c>
      <c r="E19" s="87"/>
    </row>
    <row r="20" spans="1:8" ht="15" customHeight="1">
      <c r="A20" s="98"/>
      <c r="B20" s="16" t="s">
        <v>6</v>
      </c>
      <c r="C20" s="5" t="s">
        <v>2</v>
      </c>
      <c r="D20" s="86">
        <v>1500</v>
      </c>
      <c r="E20" s="87"/>
    </row>
    <row r="21" spans="1:8" ht="15" customHeight="1" thickBot="1">
      <c r="A21" s="99"/>
      <c r="B21" s="17" t="s">
        <v>7</v>
      </c>
      <c r="C21" s="6" t="s">
        <v>3</v>
      </c>
      <c r="D21" s="120">
        <v>2650</v>
      </c>
      <c r="E21" s="121"/>
    </row>
    <row r="22" spans="1:8">
      <c r="A22" s="80" t="s">
        <v>105</v>
      </c>
      <c r="B22" s="81"/>
      <c r="C22" s="81"/>
      <c r="D22" s="81"/>
      <c r="E22" s="82"/>
    </row>
    <row r="23" spans="1:8" ht="15.75" thickBot="1">
      <c r="A23" s="83"/>
      <c r="B23" s="84"/>
      <c r="C23" s="84"/>
      <c r="D23" s="84"/>
      <c r="E23" s="85"/>
    </row>
  </sheetData>
  <customSheetViews>
    <customSheetView guid="{947B752F-E4E5-4C5C-81CB-1317F626B06B}" showPageBreaks="1" hiddenColumns="1">
      <selection activeCell="N11" sqref="N11"/>
      <pageMargins left="0.7" right="0.7" top="0.75" bottom="0.75" header="0.3" footer="0.3"/>
      <pageSetup paperSize="9" orientation="portrait" r:id="rId1"/>
    </customSheetView>
  </customSheetViews>
  <mergeCells count="21">
    <mergeCell ref="A22:E23"/>
    <mergeCell ref="A8:A10"/>
    <mergeCell ref="A11:A13"/>
    <mergeCell ref="A17:A21"/>
    <mergeCell ref="H1:I1"/>
    <mergeCell ref="D18:E18"/>
    <mergeCell ref="D19:E19"/>
    <mergeCell ref="D20:E20"/>
    <mergeCell ref="D21:E21"/>
    <mergeCell ref="D9:D10"/>
    <mergeCell ref="B8:E8"/>
    <mergeCell ref="B11:E11"/>
    <mergeCell ref="B12:B13"/>
    <mergeCell ref="D12:E12"/>
    <mergeCell ref="D13:E13"/>
    <mergeCell ref="B17:E17"/>
    <mergeCell ref="A1:E7"/>
    <mergeCell ref="A14:A16"/>
    <mergeCell ref="D14:E14"/>
    <mergeCell ref="D15:E15"/>
    <mergeCell ref="D16:E16"/>
  </mergeCells>
  <phoneticPr fontId="14" type="noConversion"/>
  <hyperlinks>
    <hyperlink ref="A22" r:id="rId2" xr:uid="{398CC8D5-E762-4E1E-9A91-1412566AEB67}"/>
  </hyperlinks>
  <pageMargins left="0.25" right="0.25" top="0.75" bottom="0.75" header="0.3" footer="0.3"/>
  <pageSetup paperSize="9" orientation="portrait" r:id="rId3"/>
  <drawing r:id="rId4"/>
  <legacyDrawing r:id="rId5"/>
  <oleObjects>
    <mc:AlternateContent xmlns:mc="http://schemas.openxmlformats.org/markup-compatibility/2006">
      <mc:Choice Requires="x14">
        <oleObject progId="CorelDraw.Graphic.18" shapeId="1030" r:id="rId6">
          <objectPr defaultSize="0" autoPict="0" r:id="rId7">
            <anchor moveWithCells="1">
              <from>
                <xdr:col>0</xdr:col>
                <xdr:colOff>152400</xdr:colOff>
                <xdr:row>0</xdr:row>
                <xdr:rowOff>161925</xdr:rowOff>
              </from>
              <to>
                <xdr:col>1</xdr:col>
                <xdr:colOff>1638300</xdr:colOff>
                <xdr:row>2</xdr:row>
                <xdr:rowOff>19050</xdr:rowOff>
              </to>
            </anchor>
          </objectPr>
        </oleObject>
      </mc:Choice>
      <mc:Fallback>
        <oleObject progId="CorelDraw.Graphic.18" shapeId="1030" r:id="rId6"/>
      </mc:Fallback>
    </mc:AlternateContent>
  </oleObjects>
  <mc:AlternateContent xmlns:mc="http://schemas.openxmlformats.org/markup-compatibility/2006">
    <mc:Choice Requires="x14">
      <controls>
        <mc:AlternateContent xmlns:mc="http://schemas.openxmlformats.org/markup-compatibility/2006">
          <mc:Choice Requires="x14">
            <control shapeId="1027" r:id="rId8" name="Drop Down 3">
              <controlPr defaultSize="0" autoLine="0" autoPict="0">
                <anchor>
                  <from>
                    <xdr:col>1</xdr:col>
                    <xdr:colOff>38100</xdr:colOff>
                    <xdr:row>10</xdr:row>
                    <xdr:rowOff>476250</xdr:rowOff>
                  </from>
                  <to>
                    <xdr:col>1</xdr:col>
                    <xdr:colOff>2181225</xdr:colOff>
                    <xdr:row>11</xdr:row>
                    <xdr:rowOff>314325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24"/>
  <sheetViews>
    <sheetView topLeftCell="A21" zoomScale="115" zoomScaleNormal="115" workbookViewId="0">
      <selection activeCell="C18" sqref="C18"/>
    </sheetView>
  </sheetViews>
  <sheetFormatPr defaultColWidth="9.140625" defaultRowHeight="15"/>
  <cols>
    <col min="1" max="1" width="4.42578125" customWidth="1"/>
    <col min="2" max="2" width="32.42578125" customWidth="1"/>
    <col min="3" max="3" width="31.7109375" customWidth="1"/>
    <col min="4" max="4" width="8.140625" customWidth="1"/>
    <col min="5" max="5" width="24.85546875" customWidth="1"/>
    <col min="6" max="6" width="18.140625" customWidth="1"/>
    <col min="7" max="7" width="15.140625" hidden="1" customWidth="1"/>
    <col min="8" max="8" width="16.42578125" hidden="1" customWidth="1"/>
    <col min="9" max="9" width="18" hidden="1" customWidth="1"/>
    <col min="10" max="10" width="14.42578125" hidden="1" customWidth="1"/>
    <col min="11" max="11" width="14.42578125" customWidth="1"/>
    <col min="12" max="14" width="8.7109375" customWidth="1"/>
  </cols>
  <sheetData>
    <row r="1" spans="1:10" ht="30" customHeight="1">
      <c r="A1" s="125" t="s">
        <v>80</v>
      </c>
      <c r="B1" s="89"/>
      <c r="C1" s="89"/>
      <c r="D1" s="89"/>
      <c r="E1" s="90"/>
      <c r="H1" s="109" t="s">
        <v>107</v>
      </c>
      <c r="I1" s="109"/>
      <c r="J1" s="13">
        <v>7</v>
      </c>
    </row>
    <row r="2" spans="1:10" ht="30" customHeight="1">
      <c r="A2" s="91"/>
      <c r="B2" s="92"/>
      <c r="C2" s="92"/>
      <c r="D2" s="92"/>
      <c r="E2" s="93"/>
    </row>
    <row r="3" spans="1:10" ht="30" customHeight="1">
      <c r="A3" s="91"/>
      <c r="B3" s="92"/>
      <c r="C3" s="92"/>
      <c r="D3" s="92"/>
      <c r="E3" s="93"/>
    </row>
    <row r="4" spans="1:10" ht="30" customHeight="1">
      <c r="A4" s="91"/>
      <c r="B4" s="92"/>
      <c r="C4" s="92"/>
      <c r="D4" s="92"/>
      <c r="E4" s="93"/>
    </row>
    <row r="5" spans="1:10" ht="14.65" customHeight="1">
      <c r="A5" s="91"/>
      <c r="B5" s="92"/>
      <c r="C5" s="92"/>
      <c r="D5" s="92"/>
      <c r="E5" s="93"/>
    </row>
    <row r="6" spans="1:10" ht="14.65" customHeight="1">
      <c r="A6" s="91"/>
      <c r="B6" s="92"/>
      <c r="C6" s="92"/>
      <c r="D6" s="92"/>
      <c r="E6" s="93"/>
    </row>
    <row r="7" spans="1:10" ht="15" customHeight="1" thickBot="1">
      <c r="A7" s="94"/>
      <c r="B7" s="95"/>
      <c r="C7" s="95"/>
      <c r="D7" s="95"/>
      <c r="E7" s="96"/>
      <c r="G7" s="1" t="s">
        <v>95</v>
      </c>
      <c r="H7" s="1" t="s">
        <v>92</v>
      </c>
      <c r="I7" s="1" t="s">
        <v>93</v>
      </c>
      <c r="J7" s="1" t="s">
        <v>94</v>
      </c>
    </row>
    <row r="8" spans="1:10" ht="30" customHeight="1">
      <c r="A8" s="98">
        <v>1</v>
      </c>
      <c r="B8" s="112" t="s">
        <v>153</v>
      </c>
      <c r="C8" s="113"/>
      <c r="D8" s="113"/>
      <c r="E8" s="114"/>
      <c r="G8" s="1" t="s">
        <v>96</v>
      </c>
      <c r="H8" s="12">
        <v>10.9</v>
      </c>
      <c r="I8" s="12">
        <f>B10*C10/1000000*H8+E10/1000</f>
        <v>0.22</v>
      </c>
      <c r="J8" s="13" t="s">
        <v>4</v>
      </c>
    </row>
    <row r="9" spans="1:10">
      <c r="A9" s="98"/>
      <c r="B9" s="23" t="s">
        <v>152</v>
      </c>
      <c r="C9" s="24" t="s">
        <v>167</v>
      </c>
      <c r="D9" s="110" t="s">
        <v>0</v>
      </c>
      <c r="E9" s="21" t="s">
        <v>168</v>
      </c>
      <c r="G9" s="1" t="s">
        <v>97</v>
      </c>
      <c r="H9" s="12">
        <v>12.2</v>
      </c>
      <c r="I9" s="12">
        <f>B10*C10/1000000*H9+E10/1000</f>
        <v>0.246</v>
      </c>
      <c r="J9" s="12">
        <f>IF(J1=2,I9,J10)</f>
        <v>0.24199999999999999</v>
      </c>
    </row>
    <row r="10" spans="1:10" ht="30" customHeight="1" thickBot="1">
      <c r="A10" s="99"/>
      <c r="B10" s="9">
        <v>100</v>
      </c>
      <c r="C10" s="10">
        <v>200</v>
      </c>
      <c r="D10" s="111"/>
      <c r="E10" s="11">
        <v>2</v>
      </c>
      <c r="G10" s="1" t="s">
        <v>98</v>
      </c>
      <c r="H10" s="12">
        <v>12.1</v>
      </c>
      <c r="I10" s="12">
        <f>B10*C10/1000000*H10+E10/1000</f>
        <v>0.24399999999999999</v>
      </c>
      <c r="J10" s="12">
        <f>IF(J1=3,I10,J11)</f>
        <v>0.24199999999999999</v>
      </c>
    </row>
    <row r="11" spans="1:10" ht="30" customHeight="1">
      <c r="A11" s="97">
        <v>2</v>
      </c>
      <c r="B11" s="100" t="s">
        <v>154</v>
      </c>
      <c r="C11" s="101"/>
      <c r="D11" s="101"/>
      <c r="E11" s="102"/>
      <c r="G11" s="1" t="s">
        <v>99</v>
      </c>
      <c r="H11" s="12">
        <v>14.5</v>
      </c>
      <c r="I11" s="12">
        <f>B10*C10/1000000*H11+E10/1000</f>
        <v>0.29199999999999998</v>
      </c>
      <c r="J11" s="12">
        <f>IF(J1=4,I11,J12)</f>
        <v>0.24199999999999999</v>
      </c>
    </row>
    <row r="12" spans="1:10" ht="20.45" customHeight="1">
      <c r="A12" s="98"/>
      <c r="B12" s="103"/>
      <c r="C12" s="25" t="s">
        <v>155</v>
      </c>
      <c r="D12" s="105" t="s">
        <v>156</v>
      </c>
      <c r="E12" s="106"/>
      <c r="G12" s="1" t="s">
        <v>114</v>
      </c>
      <c r="H12" s="12">
        <v>16.5</v>
      </c>
      <c r="I12" s="12">
        <f>B10*C10/1000000*H12+E10/1000</f>
        <v>0.33200000000000002</v>
      </c>
      <c r="J12" s="12">
        <f>IF(J1=5,I12,J13)</f>
        <v>0.24199999999999999</v>
      </c>
    </row>
    <row r="13" spans="1:10" ht="30" customHeight="1" thickBot="1">
      <c r="A13" s="99"/>
      <c r="B13" s="104"/>
      <c r="C13" s="15">
        <f>IF(J1=1,I8,J9)</f>
        <v>0.24199999999999999</v>
      </c>
      <c r="D13" s="126">
        <f>C13*B10</f>
        <v>24.2</v>
      </c>
      <c r="E13" s="127"/>
      <c r="F13" s="29"/>
      <c r="G13" s="1" t="s">
        <v>100</v>
      </c>
      <c r="H13" s="12">
        <v>11</v>
      </c>
      <c r="I13" s="12">
        <f>B10*C10/1000000*H13+E10/1000</f>
        <v>0.222</v>
      </c>
      <c r="J13" s="12">
        <f>IF(J1=6,I13,J14)</f>
        <v>0.24199999999999999</v>
      </c>
    </row>
    <row r="14" spans="1:10" ht="25.9" customHeight="1">
      <c r="A14" s="77">
        <v>3</v>
      </c>
      <c r="B14" s="33" t="s">
        <v>157</v>
      </c>
      <c r="C14" s="41" t="s">
        <v>158</v>
      </c>
      <c r="D14" s="73" t="s">
        <v>159</v>
      </c>
      <c r="E14" s="74"/>
      <c r="F14" s="29"/>
      <c r="G14" s="1" t="s">
        <v>101</v>
      </c>
      <c r="H14" s="12">
        <v>12</v>
      </c>
      <c r="I14" s="12">
        <f>B10*C10/1000000*H14+E10/1000</f>
        <v>0.24199999999999999</v>
      </c>
      <c r="J14" s="12">
        <f>IF(J1=7,I14,J15)</f>
        <v>0.24199999999999999</v>
      </c>
    </row>
    <row r="15" spans="1:10" ht="37.9" customHeight="1">
      <c r="A15" s="78"/>
      <c r="B15" s="31" t="s">
        <v>160</v>
      </c>
      <c r="C15" s="42" t="str">
        <f>G17</f>
        <v>the door is too small</v>
      </c>
      <c r="D15" s="75" t="str">
        <f>H17</f>
        <v>the door is too small</v>
      </c>
      <c r="E15" s="76"/>
      <c r="G15" s="1" t="s">
        <v>115</v>
      </c>
      <c r="H15" s="12">
        <v>15</v>
      </c>
      <c r="I15" s="12">
        <f>B10*C10/1000000*H15+E10/1000</f>
        <v>0.30199999999999999</v>
      </c>
      <c r="J15" s="12">
        <f>IF(J1=8,I15,J16)</f>
        <v>0</v>
      </c>
    </row>
    <row r="16" spans="1:10" ht="68.25" customHeight="1" thickBot="1">
      <c r="A16" s="79"/>
      <c r="B16" s="34" t="s">
        <v>161</v>
      </c>
      <c r="C16" s="43" t="str">
        <f>G18</f>
        <v/>
      </c>
      <c r="D16" s="71" t="str">
        <f>H18</f>
        <v/>
      </c>
      <c r="E16" s="72"/>
      <c r="G16" s="1" t="s">
        <v>102</v>
      </c>
      <c r="H16" s="12">
        <v>11.2</v>
      </c>
      <c r="I16" s="12">
        <f>B10*C10/1000000*H16+E10/1000</f>
        <v>0.22599999999999998</v>
      </c>
      <c r="J16" s="12">
        <f>IF(J1=9,I16,J17)</f>
        <v>0</v>
      </c>
    </row>
    <row r="17" spans="1:8" ht="97.5" customHeight="1">
      <c r="A17" s="97">
        <v>4</v>
      </c>
      <c r="B17" s="122" t="s">
        <v>162</v>
      </c>
      <c r="C17" s="123"/>
      <c r="D17" s="123"/>
      <c r="E17" s="124"/>
      <c r="G17" s="29" t="str">
        <f>IF(D13&lt;480,"the door is too small",IF(D13&lt;750,"SF00AD02A",IF(D13&lt;1500,"SF00AL02A",IF(D13&lt;3200,"SF00AM02A",IF(D13&lt;=9000,"SF00AH02A","")))))</f>
        <v>the door is too small</v>
      </c>
      <c r="H17" s="29" t="str">
        <f>IF(D13&lt;480,"the door is too small",IF(D13&lt;750,"SF00AD02B",IF(D13&lt;1500,"SF00AL02B",IF(D13&lt;3200,"SF00AM02B",IF(D13&lt;=9000,"SF00AH02B","")))))</f>
        <v>the door is too small</v>
      </c>
    </row>
    <row r="18" spans="1:8">
      <c r="A18" s="98"/>
      <c r="B18" s="27" t="s">
        <v>163</v>
      </c>
      <c r="C18" s="28" t="s">
        <v>195</v>
      </c>
      <c r="D18" s="118" t="s">
        <v>164</v>
      </c>
      <c r="E18" s="119"/>
      <c r="G18" t="str">
        <f>IF(D13&gt;13500,"the door is too big, out of range",IF(D13&gt;9000,"3pcs of SF00AH02A",""))</f>
        <v/>
      </c>
      <c r="H18" t="str">
        <f>IF(D13&gt;13500,"the door is too big, out of range",IF(D13&gt;9000,"3pcs of SF00AH02B",""))</f>
        <v/>
      </c>
    </row>
    <row r="19" spans="1:8">
      <c r="A19" s="98"/>
      <c r="B19" s="4" t="s">
        <v>11</v>
      </c>
      <c r="C19" s="5" t="s">
        <v>12</v>
      </c>
      <c r="D19" s="86">
        <v>990</v>
      </c>
      <c r="E19" s="87"/>
    </row>
    <row r="20" spans="1:8">
      <c r="A20" s="98"/>
      <c r="B20" s="16" t="s">
        <v>8</v>
      </c>
      <c r="C20" s="5" t="s">
        <v>13</v>
      </c>
      <c r="D20" s="86">
        <v>1625</v>
      </c>
      <c r="E20" s="87"/>
    </row>
    <row r="21" spans="1:8">
      <c r="A21" s="98"/>
      <c r="B21" s="16" t="s">
        <v>9</v>
      </c>
      <c r="C21" s="5" t="s">
        <v>14</v>
      </c>
      <c r="D21" s="86">
        <v>3200</v>
      </c>
      <c r="E21" s="87"/>
    </row>
    <row r="22" spans="1:8" ht="15.75" thickBot="1">
      <c r="A22" s="99"/>
      <c r="B22" s="17" t="s">
        <v>10</v>
      </c>
      <c r="C22" s="6" t="s">
        <v>15</v>
      </c>
      <c r="D22" s="120">
        <v>6100</v>
      </c>
      <c r="E22" s="121"/>
    </row>
    <row r="23" spans="1:8">
      <c r="A23" s="80" t="s">
        <v>105</v>
      </c>
      <c r="B23" s="81"/>
      <c r="C23" s="81"/>
      <c r="D23" s="81"/>
      <c r="E23" s="82"/>
    </row>
    <row r="24" spans="1:8" ht="15.75" thickBot="1">
      <c r="A24" s="83"/>
      <c r="B24" s="84"/>
      <c r="C24" s="84"/>
      <c r="D24" s="84"/>
      <c r="E24" s="85"/>
    </row>
  </sheetData>
  <mergeCells count="22">
    <mergeCell ref="D15:E15"/>
    <mergeCell ref="A1:E7"/>
    <mergeCell ref="H1:I1"/>
    <mergeCell ref="A8:A10"/>
    <mergeCell ref="B8:E8"/>
    <mergeCell ref="D9:D10"/>
    <mergeCell ref="D16:E16"/>
    <mergeCell ref="D21:E21"/>
    <mergeCell ref="D22:E22"/>
    <mergeCell ref="A23:E24"/>
    <mergeCell ref="A11:A13"/>
    <mergeCell ref="B11:E11"/>
    <mergeCell ref="B12:B13"/>
    <mergeCell ref="D12:E12"/>
    <mergeCell ref="D13:E13"/>
    <mergeCell ref="A17:A22"/>
    <mergeCell ref="B17:E17"/>
    <mergeCell ref="D18:E18"/>
    <mergeCell ref="D19:E19"/>
    <mergeCell ref="D20:E20"/>
    <mergeCell ref="A14:A16"/>
    <mergeCell ref="D14:E14"/>
  </mergeCells>
  <phoneticPr fontId="14" type="noConversion"/>
  <hyperlinks>
    <hyperlink ref="A23" r:id="rId1" xr:uid="{00000000-0004-0000-0200-000000000000}"/>
  </hyperlinks>
  <pageMargins left="0.25" right="0.25" top="0.75" bottom="0.75" header="0.3" footer="0.3"/>
  <pageSetup paperSize="9" orientation="portrait" r:id="rId2"/>
  <drawing r:id="rId3"/>
  <legacyDrawing r:id="rId4"/>
  <oleObjects>
    <mc:AlternateContent xmlns:mc="http://schemas.openxmlformats.org/markup-compatibility/2006">
      <mc:Choice Requires="x14">
        <oleObject progId="CorelDraw.Graphic.18" shapeId="2053" r:id="rId5">
          <objectPr defaultSize="0" autoPict="0" r:id="rId6">
            <anchor moveWithCells="1">
              <from>
                <xdr:col>0</xdr:col>
                <xdr:colOff>152400</xdr:colOff>
                <xdr:row>0</xdr:row>
                <xdr:rowOff>161925</xdr:rowOff>
              </from>
              <to>
                <xdr:col>1</xdr:col>
                <xdr:colOff>1638300</xdr:colOff>
                <xdr:row>2</xdr:row>
                <xdr:rowOff>19050</xdr:rowOff>
              </to>
            </anchor>
          </objectPr>
        </oleObject>
      </mc:Choice>
      <mc:Fallback>
        <oleObject progId="CorelDraw.Graphic.18" shapeId="2053" r:id="rId5"/>
      </mc:Fallback>
    </mc:AlternateContent>
  </oleObjects>
  <mc:AlternateContent xmlns:mc="http://schemas.openxmlformats.org/markup-compatibility/2006">
    <mc:Choice Requires="x14">
      <controls>
        <mc:AlternateContent xmlns:mc="http://schemas.openxmlformats.org/markup-compatibility/2006">
          <mc:Choice Requires="x14">
            <control shapeId="2051" r:id="rId7" name="Drop Down 3">
              <controlPr defaultSize="0" autoLine="0" autoPict="0">
                <anchor>
                  <from>
                    <xdr:col>1</xdr:col>
                    <xdr:colOff>28575</xdr:colOff>
                    <xdr:row>11</xdr:row>
                    <xdr:rowOff>57150</xdr:rowOff>
                  </from>
                  <to>
                    <xdr:col>1</xdr:col>
                    <xdr:colOff>2190750</xdr:colOff>
                    <xdr:row>12</xdr:row>
                    <xdr:rowOff>276225</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47"/>
  <sheetViews>
    <sheetView topLeftCell="A3" zoomScale="115" zoomScaleNormal="115" workbookViewId="0">
      <selection activeCell="B16" sqref="B16:E16"/>
    </sheetView>
  </sheetViews>
  <sheetFormatPr defaultColWidth="9.140625" defaultRowHeight="15"/>
  <cols>
    <col min="1" max="1" width="4.42578125" customWidth="1"/>
    <col min="2" max="2" width="32.42578125" customWidth="1"/>
    <col min="3" max="3" width="30.42578125" customWidth="1"/>
    <col min="4" max="4" width="8.140625" customWidth="1"/>
    <col min="5" max="5" width="25.7109375" customWidth="1"/>
    <col min="6" max="6" width="18.5703125" customWidth="1"/>
    <col min="7" max="7" width="21" hidden="1" customWidth="1"/>
    <col min="8" max="8" width="12.85546875" hidden="1" customWidth="1"/>
    <col min="9" max="9" width="18" hidden="1" customWidth="1"/>
    <col min="10" max="10" width="14" hidden="1" customWidth="1"/>
    <col min="11" max="11" width="18.7109375" customWidth="1"/>
    <col min="12" max="14" width="8.7109375" customWidth="1"/>
  </cols>
  <sheetData>
    <row r="1" spans="1:10" ht="30" customHeight="1">
      <c r="A1" s="125" t="s">
        <v>81</v>
      </c>
      <c r="B1" s="89"/>
      <c r="C1" s="89"/>
      <c r="D1" s="89"/>
      <c r="E1" s="90"/>
      <c r="H1" s="109" t="s">
        <v>108</v>
      </c>
      <c r="I1" s="109"/>
      <c r="J1" s="13">
        <v>1</v>
      </c>
    </row>
    <row r="2" spans="1:10" ht="30" customHeight="1">
      <c r="A2" s="91"/>
      <c r="B2" s="92"/>
      <c r="C2" s="92"/>
      <c r="D2" s="92"/>
      <c r="E2" s="93"/>
    </row>
    <row r="3" spans="1:10" ht="30" customHeight="1">
      <c r="A3" s="91"/>
      <c r="B3" s="92"/>
      <c r="C3" s="92"/>
      <c r="D3" s="92"/>
      <c r="E3" s="93"/>
    </row>
    <row r="4" spans="1:10" ht="30" customHeight="1">
      <c r="A4" s="91"/>
      <c r="B4" s="92"/>
      <c r="C4" s="92"/>
      <c r="D4" s="92"/>
      <c r="E4" s="93"/>
    </row>
    <row r="5" spans="1:10" ht="14.65" customHeight="1">
      <c r="A5" s="91"/>
      <c r="B5" s="92"/>
      <c r="C5" s="92"/>
      <c r="D5" s="92"/>
      <c r="E5" s="93"/>
    </row>
    <row r="6" spans="1:10" ht="14.65" customHeight="1">
      <c r="A6" s="91"/>
      <c r="B6" s="92"/>
      <c r="C6" s="92"/>
      <c r="D6" s="92"/>
      <c r="E6" s="93"/>
    </row>
    <row r="7" spans="1:10" ht="15" customHeight="1" thickBot="1">
      <c r="A7" s="94"/>
      <c r="B7" s="95"/>
      <c r="C7" s="95"/>
      <c r="D7" s="95"/>
      <c r="E7" s="96"/>
      <c r="G7" s="1" t="s">
        <v>95</v>
      </c>
      <c r="H7" s="1" t="s">
        <v>92</v>
      </c>
      <c r="I7" s="1" t="s">
        <v>93</v>
      </c>
      <c r="J7" s="1" t="s">
        <v>94</v>
      </c>
    </row>
    <row r="8" spans="1:10" ht="30" customHeight="1">
      <c r="A8" s="98">
        <v>1</v>
      </c>
      <c r="B8" s="112" t="s">
        <v>153</v>
      </c>
      <c r="C8" s="113"/>
      <c r="D8" s="113"/>
      <c r="E8" s="114"/>
      <c r="G8" s="1" t="s">
        <v>96</v>
      </c>
      <c r="H8" s="12">
        <v>10.9</v>
      </c>
      <c r="I8" s="12">
        <f>B10*C10/1000000*H8+E10/1000</f>
        <v>3.2919999999999998</v>
      </c>
      <c r="J8" s="13" t="s">
        <v>4</v>
      </c>
    </row>
    <row r="9" spans="1:10" ht="18" customHeight="1">
      <c r="A9" s="98"/>
      <c r="B9" s="23" t="s">
        <v>187</v>
      </c>
      <c r="C9" s="24" t="s">
        <v>167</v>
      </c>
      <c r="D9" s="110" t="s">
        <v>0</v>
      </c>
      <c r="E9" s="21" t="s">
        <v>168</v>
      </c>
      <c r="G9" s="1" t="s">
        <v>97</v>
      </c>
      <c r="H9" s="12">
        <v>12.2</v>
      </c>
      <c r="I9" s="12">
        <f>B10*C10/1000000*H9+E10/1000</f>
        <v>3.6819999999999995</v>
      </c>
      <c r="J9" s="12">
        <f>IF(J1=2,I9,J10)</f>
        <v>0</v>
      </c>
    </row>
    <row r="10" spans="1:10" ht="27" customHeight="1" thickBot="1">
      <c r="A10" s="99"/>
      <c r="B10" s="9">
        <v>600</v>
      </c>
      <c r="C10" s="10">
        <v>500</v>
      </c>
      <c r="D10" s="111"/>
      <c r="E10" s="11">
        <v>22</v>
      </c>
      <c r="G10" s="1" t="s">
        <v>98</v>
      </c>
      <c r="H10" s="12">
        <v>12.1</v>
      </c>
      <c r="I10" s="12">
        <f>B10*C10/1000000*H10+E10/1000</f>
        <v>3.6519999999999997</v>
      </c>
      <c r="J10" s="12">
        <f>IF(J1=3,I10,J11)</f>
        <v>0</v>
      </c>
    </row>
    <row r="11" spans="1:10" ht="30" customHeight="1">
      <c r="A11" s="97">
        <v>2</v>
      </c>
      <c r="B11" s="122" t="s">
        <v>188</v>
      </c>
      <c r="C11" s="123"/>
      <c r="D11" s="123"/>
      <c r="E11" s="124"/>
      <c r="G11" s="1" t="s">
        <v>99</v>
      </c>
      <c r="H11" s="12">
        <v>14.5</v>
      </c>
      <c r="I11" s="12">
        <f>B10*C10/1000000*H11+E10/1000</f>
        <v>4.3719999999999999</v>
      </c>
      <c r="J11" s="12">
        <f>IF(J1=4,I11,J12)</f>
        <v>0</v>
      </c>
    </row>
    <row r="12" spans="1:10" ht="23.45" customHeight="1">
      <c r="A12" s="98"/>
      <c r="B12" s="103"/>
      <c r="C12" s="2" t="s">
        <v>193</v>
      </c>
      <c r="D12" s="135" t="s">
        <v>156</v>
      </c>
      <c r="E12" s="136"/>
      <c r="G12" s="1" t="s">
        <v>114</v>
      </c>
      <c r="H12" s="12">
        <v>16.5</v>
      </c>
      <c r="I12" s="12">
        <f>B10*C10/1000000*H12+E10/1000</f>
        <v>4.9720000000000004</v>
      </c>
      <c r="J12" s="12">
        <f>IF(J1=5,I12,J13)</f>
        <v>0</v>
      </c>
    </row>
    <row r="13" spans="1:10" ht="37.9" customHeight="1" thickBot="1">
      <c r="A13" s="98"/>
      <c r="B13" s="134"/>
      <c r="C13" s="32">
        <f>IF(J1=1,I8,J9)</f>
        <v>3.2919999999999998</v>
      </c>
      <c r="D13" s="137">
        <f>C13*B10</f>
        <v>1975.1999999999998</v>
      </c>
      <c r="E13" s="138"/>
      <c r="F13" s="22"/>
      <c r="G13" s="1" t="s">
        <v>100</v>
      </c>
      <c r="H13" s="12">
        <v>11</v>
      </c>
      <c r="I13" s="12">
        <f>B10*C10/1000000*H13+E10/1000</f>
        <v>3.3219999999999996</v>
      </c>
      <c r="J13" s="12">
        <f>IF(J1=6,I13,J14)</f>
        <v>0</v>
      </c>
    </row>
    <row r="14" spans="1:10" ht="25.15" customHeight="1">
      <c r="A14" s="77">
        <v>3</v>
      </c>
      <c r="B14" s="128" t="s">
        <v>170</v>
      </c>
      <c r="C14" s="41" t="s">
        <v>190</v>
      </c>
      <c r="D14" s="130" t="s">
        <v>191</v>
      </c>
      <c r="E14" s="131"/>
      <c r="F14" s="22"/>
      <c r="G14" s="1" t="s">
        <v>101</v>
      </c>
      <c r="H14" s="12">
        <v>12</v>
      </c>
      <c r="I14" s="12">
        <f>B10*C10/1000000*H14+E10/1000</f>
        <v>3.6219999999999994</v>
      </c>
      <c r="J14" s="12">
        <f>IF(J1=7,I14,J15)</f>
        <v>0</v>
      </c>
    </row>
    <row r="15" spans="1:10" ht="35.450000000000003" customHeight="1" thickBot="1">
      <c r="A15" s="79"/>
      <c r="B15" s="129"/>
      <c r="C15" s="44" t="str">
        <f>G17</f>
        <v>SE00AH01</v>
      </c>
      <c r="D15" s="132" t="str">
        <f>G18</f>
        <v/>
      </c>
      <c r="E15" s="133"/>
      <c r="G15" s="1" t="s">
        <v>115</v>
      </c>
      <c r="H15" s="12">
        <v>15</v>
      </c>
      <c r="I15" s="12">
        <f>B10*C10/1000000*H15+E10/1000</f>
        <v>4.5220000000000002</v>
      </c>
      <c r="J15" s="12">
        <f>IF(J1=8,I15,J16)</f>
        <v>0</v>
      </c>
    </row>
    <row r="16" spans="1:10" ht="98.25" customHeight="1">
      <c r="A16" s="97">
        <v>4</v>
      </c>
      <c r="B16" s="122" t="s">
        <v>192</v>
      </c>
      <c r="C16" s="123"/>
      <c r="D16" s="123"/>
      <c r="E16" s="124"/>
      <c r="G16" s="1" t="s">
        <v>102</v>
      </c>
      <c r="H16" s="12">
        <v>11.2</v>
      </c>
      <c r="I16" s="12">
        <f>B10*C10/1000000*H16+E10/1000</f>
        <v>3.3819999999999997</v>
      </c>
      <c r="J16" s="12">
        <f>IF(J1=9,I16,J17)</f>
        <v>0</v>
      </c>
    </row>
    <row r="17" spans="1:10" ht="27" customHeight="1">
      <c r="A17" s="98"/>
      <c r="B17" s="27" t="s">
        <v>163</v>
      </c>
      <c r="C17" s="28" t="s">
        <v>195</v>
      </c>
      <c r="D17" s="118" t="s">
        <v>196</v>
      </c>
      <c r="E17" s="119"/>
      <c r="G17" s="29" t="str">
        <f>IF(D13&lt;200,"the door is too small",IF(D13&lt;500,"SE00AL01",IF(D13&lt;960,"SE00AM01",IF(D13&lt;=2350,"SE00AH01",""))))</f>
        <v>SE00AH01</v>
      </c>
    </row>
    <row r="18" spans="1:10" ht="15.6" customHeight="1">
      <c r="A18" s="98"/>
      <c r="B18" s="16" t="s">
        <v>16</v>
      </c>
      <c r="C18" s="5" t="s">
        <v>20</v>
      </c>
      <c r="D18" s="86">
        <v>600</v>
      </c>
      <c r="E18" s="87"/>
      <c r="G18" s="29" t="str">
        <f>IF(D13&gt;4700,"the door is too big, out of range",IF(D13&gt;2350,"2sets of SE00AH01",""))</f>
        <v/>
      </c>
    </row>
    <row r="19" spans="1:10" ht="15.6" customHeight="1">
      <c r="A19" s="98"/>
      <c r="B19" s="16" t="s">
        <v>17</v>
      </c>
      <c r="C19" s="5" t="s">
        <v>19</v>
      </c>
      <c r="D19" s="86">
        <v>1000</v>
      </c>
      <c r="E19" s="87"/>
    </row>
    <row r="20" spans="1:10" ht="15.6" customHeight="1" thickBot="1">
      <c r="A20" s="99"/>
      <c r="B20" s="17" t="s">
        <v>18</v>
      </c>
      <c r="C20" s="6" t="s">
        <v>21</v>
      </c>
      <c r="D20" s="120">
        <v>1655</v>
      </c>
      <c r="E20" s="121"/>
    </row>
    <row r="21" spans="1:10">
      <c r="A21" s="80" t="s">
        <v>105</v>
      </c>
      <c r="B21" s="81"/>
      <c r="C21" s="81"/>
      <c r="D21" s="81"/>
      <c r="E21" s="82"/>
    </row>
    <row r="22" spans="1:10" ht="15.75" thickBot="1">
      <c r="A22" s="83"/>
      <c r="B22" s="84"/>
      <c r="C22" s="84"/>
      <c r="D22" s="84"/>
      <c r="E22" s="85"/>
    </row>
    <row r="23" spans="1:10" ht="30" customHeight="1"/>
    <row r="24" spans="1:10" ht="30" customHeight="1"/>
    <row r="25" spans="1:10" ht="30" customHeight="1" thickBot="1"/>
    <row r="26" spans="1:10" ht="30" customHeight="1">
      <c r="A26" s="125" t="s">
        <v>109</v>
      </c>
      <c r="B26" s="89"/>
      <c r="C26" s="89"/>
      <c r="D26" s="89"/>
      <c r="E26" s="90"/>
      <c r="H26" s="109" t="s">
        <v>108</v>
      </c>
      <c r="I26" s="109"/>
      <c r="J26" s="13">
        <v>6</v>
      </c>
    </row>
    <row r="27" spans="1:10" ht="30" customHeight="1">
      <c r="A27" s="91"/>
      <c r="B27" s="92"/>
      <c r="C27" s="92"/>
      <c r="D27" s="92"/>
      <c r="E27" s="93"/>
    </row>
    <row r="28" spans="1:10" ht="14.65" customHeight="1">
      <c r="A28" s="91"/>
      <c r="B28" s="92"/>
      <c r="C28" s="92"/>
      <c r="D28" s="92"/>
      <c r="E28" s="93"/>
    </row>
    <row r="29" spans="1:10" ht="14.65" customHeight="1">
      <c r="A29" s="91"/>
      <c r="B29" s="92"/>
      <c r="C29" s="92"/>
      <c r="D29" s="92"/>
      <c r="E29" s="93"/>
    </row>
    <row r="30" spans="1:10" ht="15" customHeight="1">
      <c r="A30" s="91"/>
      <c r="B30" s="92"/>
      <c r="C30" s="92"/>
      <c r="D30" s="92"/>
      <c r="E30" s="93"/>
    </row>
    <row r="31" spans="1:10" ht="30" customHeight="1">
      <c r="A31" s="91"/>
      <c r="B31" s="92"/>
      <c r="C31" s="92"/>
      <c r="D31" s="92"/>
      <c r="E31" s="93"/>
    </row>
    <row r="32" spans="1:10" ht="15.75" thickBot="1">
      <c r="A32" s="94"/>
      <c r="B32" s="95"/>
      <c r="C32" s="95"/>
      <c r="D32" s="95"/>
      <c r="E32" s="96"/>
      <c r="G32" s="1" t="s">
        <v>95</v>
      </c>
      <c r="H32" s="1" t="s">
        <v>92</v>
      </c>
      <c r="I32" s="1" t="s">
        <v>93</v>
      </c>
      <c r="J32" s="1" t="s">
        <v>94</v>
      </c>
    </row>
    <row r="33" spans="1:11" ht="30" customHeight="1">
      <c r="A33" s="98">
        <v>1</v>
      </c>
      <c r="B33" s="112" t="s">
        <v>153</v>
      </c>
      <c r="C33" s="113"/>
      <c r="D33" s="113"/>
      <c r="E33" s="114"/>
      <c r="G33" s="1" t="s">
        <v>96</v>
      </c>
      <c r="H33" s="12">
        <v>10.9</v>
      </c>
      <c r="I33" s="12">
        <f>B35*C35/1000000*H33+E35/1000</f>
        <v>3.3029999999999999</v>
      </c>
      <c r="J33" s="13" t="s">
        <v>4</v>
      </c>
    </row>
    <row r="34" spans="1:11" ht="30" customHeight="1">
      <c r="A34" s="98"/>
      <c r="B34" s="23" t="s">
        <v>187</v>
      </c>
      <c r="C34" s="24" t="s">
        <v>167</v>
      </c>
      <c r="D34" s="110" t="s">
        <v>0</v>
      </c>
      <c r="E34" s="21" t="s">
        <v>168</v>
      </c>
      <c r="G34" s="1" t="s">
        <v>97</v>
      </c>
      <c r="H34" s="12">
        <v>12.2</v>
      </c>
      <c r="I34" s="12">
        <f>B35*C35/1000000*H34+E35/1000</f>
        <v>3.6929999999999996</v>
      </c>
      <c r="J34" s="12">
        <f>IF(J26=2,I34,J35)</f>
        <v>3.6329999999999996</v>
      </c>
    </row>
    <row r="35" spans="1:11" ht="21.6" customHeight="1" thickBot="1">
      <c r="A35" s="99"/>
      <c r="B35" s="9">
        <v>600</v>
      </c>
      <c r="C35" s="10">
        <v>500</v>
      </c>
      <c r="D35" s="111"/>
      <c r="E35" s="11">
        <v>33</v>
      </c>
      <c r="G35" s="1" t="s">
        <v>98</v>
      </c>
      <c r="H35" s="12">
        <v>12.1</v>
      </c>
      <c r="I35" s="12">
        <f>B35*C35/1000000*H35+E35/1000</f>
        <v>3.6629999999999998</v>
      </c>
      <c r="J35" s="12">
        <f>IF(J26=3,I35,J36)</f>
        <v>3.6329999999999996</v>
      </c>
    </row>
    <row r="36" spans="1:11" ht="30" customHeight="1">
      <c r="A36" s="97">
        <v>2</v>
      </c>
      <c r="B36" s="122" t="s">
        <v>188</v>
      </c>
      <c r="C36" s="123"/>
      <c r="D36" s="123"/>
      <c r="E36" s="124"/>
      <c r="F36" s="29"/>
      <c r="G36" s="1" t="s">
        <v>99</v>
      </c>
      <c r="H36" s="12">
        <v>14.5</v>
      </c>
      <c r="I36" s="12">
        <f>B35*C35/1000000*H36+E35/1000</f>
        <v>4.383</v>
      </c>
      <c r="J36" s="12">
        <f>IF(J26=4,I36,J37)</f>
        <v>3.6329999999999996</v>
      </c>
      <c r="K36" s="29"/>
    </row>
    <row r="37" spans="1:11" ht="42" customHeight="1">
      <c r="A37" s="98"/>
      <c r="B37" s="103"/>
      <c r="C37" s="2" t="s">
        <v>189</v>
      </c>
      <c r="D37" s="135" t="s">
        <v>156</v>
      </c>
      <c r="E37" s="136"/>
      <c r="F37" s="29"/>
      <c r="G37" s="1" t="s">
        <v>100</v>
      </c>
      <c r="H37" s="12">
        <v>11</v>
      </c>
      <c r="I37" s="12">
        <f>B35*C35/1000000*H37+E35/1000</f>
        <v>3.3329999999999997</v>
      </c>
      <c r="J37" s="12">
        <f>IF(J26=5,I37,J38)</f>
        <v>3.6329999999999996</v>
      </c>
      <c r="K37" s="29"/>
    </row>
    <row r="38" spans="1:11" ht="27.6" customHeight="1" thickBot="1">
      <c r="A38" s="99"/>
      <c r="B38" s="104"/>
      <c r="C38" s="15">
        <f>IF(J26=1,I33,J34)</f>
        <v>3.6329999999999996</v>
      </c>
      <c r="D38" s="126">
        <f>C38*B35</f>
        <v>2179.7999999999997</v>
      </c>
      <c r="E38" s="127"/>
      <c r="G38" s="1" t="s">
        <v>101</v>
      </c>
      <c r="H38" s="12">
        <v>12</v>
      </c>
      <c r="I38" s="12">
        <f>B35*C35/1000000*H38+E35/1000</f>
        <v>3.6329999999999996</v>
      </c>
      <c r="J38" s="12">
        <f>IF(J26=6,I38,J39)</f>
        <v>3.6329999999999996</v>
      </c>
    </row>
    <row r="39" spans="1:11" ht="29.45" customHeight="1">
      <c r="A39" s="77">
        <v>3</v>
      </c>
      <c r="B39" s="128" t="s">
        <v>170</v>
      </c>
      <c r="C39" s="41" t="s">
        <v>190</v>
      </c>
      <c r="D39" s="130" t="s">
        <v>191</v>
      </c>
      <c r="E39" s="131"/>
      <c r="G39" s="1" t="s">
        <v>102</v>
      </c>
      <c r="H39" s="12">
        <v>11.2</v>
      </c>
      <c r="I39" s="12">
        <f>B35*C35/1000000*H39+E35/1000</f>
        <v>3.3929999999999998</v>
      </c>
      <c r="J39" s="12">
        <f>IF(J26=7,I39,J40)</f>
        <v>0</v>
      </c>
    </row>
    <row r="40" spans="1:11" ht="29.45" customHeight="1" thickBot="1">
      <c r="A40" s="79"/>
      <c r="B40" s="129"/>
      <c r="C40" s="44" t="str">
        <f>G40</f>
        <v/>
      </c>
      <c r="D40" s="132" t="str">
        <f>G41</f>
        <v>2sets of SE2FAH01</v>
      </c>
      <c r="E40" s="133"/>
      <c r="G40" s="29" t="str">
        <f>IF(D38&lt;200,"the door is too small",IF(D38&lt;500,"SE2FAL01",IF(D38&lt;960,"SE2FAM01",IF(D38&lt;=2050,"SE2FAH01",""))))</f>
        <v/>
      </c>
    </row>
    <row r="41" spans="1:11" ht="103.5" customHeight="1">
      <c r="A41" s="97">
        <v>4</v>
      </c>
      <c r="B41" s="122" t="s">
        <v>194</v>
      </c>
      <c r="C41" s="123"/>
      <c r="D41" s="123"/>
      <c r="E41" s="124"/>
      <c r="G41" s="29" t="str">
        <f>IF(D38&gt;4100,"the door is too big, out of range",IF(D38&gt;2050,"2sets of SE2FAH01",""))</f>
        <v>2sets of SE2FAH01</v>
      </c>
    </row>
    <row r="42" spans="1:11">
      <c r="A42" s="98"/>
      <c r="B42" s="27" t="s">
        <v>163</v>
      </c>
      <c r="C42" s="70" t="s">
        <v>195</v>
      </c>
      <c r="D42" s="118" t="s">
        <v>196</v>
      </c>
      <c r="E42" s="119"/>
    </row>
    <row r="43" spans="1:11">
      <c r="A43" s="98"/>
      <c r="B43" s="16" t="s">
        <v>68</v>
      </c>
      <c r="C43" s="5" t="s">
        <v>20</v>
      </c>
      <c r="D43" s="86">
        <v>600</v>
      </c>
      <c r="E43" s="87"/>
    </row>
    <row r="44" spans="1:11">
      <c r="A44" s="98"/>
      <c r="B44" s="16" t="s">
        <v>69</v>
      </c>
      <c r="C44" s="5" t="s">
        <v>66</v>
      </c>
      <c r="D44" s="86">
        <v>950</v>
      </c>
      <c r="E44" s="87"/>
    </row>
    <row r="45" spans="1:11" ht="15.75" thickBot="1">
      <c r="A45" s="99"/>
      <c r="B45" s="17" t="s">
        <v>70</v>
      </c>
      <c r="C45" s="6" t="s">
        <v>67</v>
      </c>
      <c r="D45" s="120">
        <v>1505</v>
      </c>
      <c r="E45" s="121"/>
    </row>
    <row r="46" spans="1:11">
      <c r="A46" s="80" t="s">
        <v>105</v>
      </c>
      <c r="B46" s="81"/>
      <c r="C46" s="81"/>
      <c r="D46" s="81"/>
      <c r="E46" s="82"/>
    </row>
    <row r="47" spans="1:11" ht="15.75" thickBot="1">
      <c r="A47" s="83"/>
      <c r="B47" s="84"/>
      <c r="C47" s="84"/>
      <c r="D47" s="84"/>
      <c r="E47" s="85"/>
    </row>
  </sheetData>
  <mergeCells count="42">
    <mergeCell ref="A46:E47"/>
    <mergeCell ref="H26:I26"/>
    <mergeCell ref="A41:A45"/>
    <mergeCell ref="B41:E41"/>
    <mergeCell ref="D42:E42"/>
    <mergeCell ref="D43:E43"/>
    <mergeCell ref="D44:E44"/>
    <mergeCell ref="D45:E45"/>
    <mergeCell ref="A26:E32"/>
    <mergeCell ref="A33:A35"/>
    <mergeCell ref="B33:E33"/>
    <mergeCell ref="D34:D35"/>
    <mergeCell ref="A36:A38"/>
    <mergeCell ref="B36:E36"/>
    <mergeCell ref="B37:B38"/>
    <mergeCell ref="D37:E37"/>
    <mergeCell ref="A11:A13"/>
    <mergeCell ref="B11:E11"/>
    <mergeCell ref="B12:B13"/>
    <mergeCell ref="D12:E12"/>
    <mergeCell ref="D13:E13"/>
    <mergeCell ref="A1:E7"/>
    <mergeCell ref="H1:I1"/>
    <mergeCell ref="A8:A10"/>
    <mergeCell ref="B8:E8"/>
    <mergeCell ref="D9:D10"/>
    <mergeCell ref="A14:A15"/>
    <mergeCell ref="B14:B15"/>
    <mergeCell ref="A39:A40"/>
    <mergeCell ref="B39:B40"/>
    <mergeCell ref="D39:E39"/>
    <mergeCell ref="D40:E40"/>
    <mergeCell ref="D38:E38"/>
    <mergeCell ref="A21:E22"/>
    <mergeCell ref="A16:A20"/>
    <mergeCell ref="B16:E16"/>
    <mergeCell ref="D17:E17"/>
    <mergeCell ref="D18:E18"/>
    <mergeCell ref="D19:E19"/>
    <mergeCell ref="D20:E20"/>
    <mergeCell ref="D14:E14"/>
    <mergeCell ref="D15:E15"/>
  </mergeCells>
  <phoneticPr fontId="14" type="noConversion"/>
  <hyperlinks>
    <hyperlink ref="A21" r:id="rId1" xr:uid="{00000000-0004-0000-0300-000000000000}"/>
    <hyperlink ref="A46" r:id="rId2" xr:uid="{00000000-0004-0000-0300-000001000000}"/>
  </hyperlinks>
  <pageMargins left="0.25" right="0.25" top="0.75" bottom="0.75" header="0.3" footer="0.3"/>
  <pageSetup paperSize="9" orientation="portrait" r:id="rId3"/>
  <drawing r:id="rId4"/>
  <legacyDrawing r:id="rId5"/>
  <oleObjects>
    <mc:AlternateContent xmlns:mc="http://schemas.openxmlformats.org/markup-compatibility/2006">
      <mc:Choice Requires="x14">
        <oleObject progId="CorelDraw.Graphic.18" shapeId="5124" r:id="rId6">
          <objectPr defaultSize="0" autoPict="0" r:id="rId7">
            <anchor moveWithCells="1">
              <from>
                <xdr:col>0</xdr:col>
                <xdr:colOff>152400</xdr:colOff>
                <xdr:row>0</xdr:row>
                <xdr:rowOff>152400</xdr:rowOff>
              </from>
              <to>
                <xdr:col>1</xdr:col>
                <xdr:colOff>1638300</xdr:colOff>
                <xdr:row>2</xdr:row>
                <xdr:rowOff>0</xdr:rowOff>
              </to>
            </anchor>
          </objectPr>
        </oleObject>
      </mc:Choice>
      <mc:Fallback>
        <oleObject progId="CorelDraw.Graphic.18" shapeId="5124" r:id="rId6"/>
      </mc:Fallback>
    </mc:AlternateContent>
    <mc:AlternateContent xmlns:mc="http://schemas.openxmlformats.org/markup-compatibility/2006">
      <mc:Choice Requires="x14">
        <oleObject progId="CorelDraw.Graphic.18" shapeId="5126" r:id="rId8">
          <objectPr defaultSize="0" autoPict="0" r:id="rId7">
            <anchor moveWithCells="1">
              <from>
                <xdr:col>0</xdr:col>
                <xdr:colOff>152400</xdr:colOff>
                <xdr:row>25</xdr:row>
                <xdr:rowOff>152400</xdr:rowOff>
              </from>
              <to>
                <xdr:col>1</xdr:col>
                <xdr:colOff>1638300</xdr:colOff>
                <xdr:row>27</xdr:row>
                <xdr:rowOff>0</xdr:rowOff>
              </to>
            </anchor>
          </objectPr>
        </oleObject>
      </mc:Choice>
      <mc:Fallback>
        <oleObject progId="CorelDraw.Graphic.18" shapeId="5126" r:id="rId8"/>
      </mc:Fallback>
    </mc:AlternateContent>
  </oleObjects>
  <mc:AlternateContent xmlns:mc="http://schemas.openxmlformats.org/markup-compatibility/2006">
    <mc:Choice Requires="x14">
      <controls>
        <mc:AlternateContent xmlns:mc="http://schemas.openxmlformats.org/markup-compatibility/2006">
          <mc:Choice Requires="x14">
            <control shapeId="5121" r:id="rId9" name="Drop Down 1">
              <controlPr defaultSize="0" autoLine="0" autoPict="0">
                <anchor>
                  <from>
                    <xdr:col>1</xdr:col>
                    <xdr:colOff>28575</xdr:colOff>
                    <xdr:row>11</xdr:row>
                    <xdr:rowOff>209550</xdr:rowOff>
                  </from>
                  <to>
                    <xdr:col>1</xdr:col>
                    <xdr:colOff>2190750</xdr:colOff>
                    <xdr:row>12</xdr:row>
                    <xdr:rowOff>371475</xdr:rowOff>
                  </to>
                </anchor>
              </controlPr>
            </control>
          </mc:Choice>
        </mc:AlternateContent>
        <mc:AlternateContent xmlns:mc="http://schemas.openxmlformats.org/markup-compatibility/2006">
          <mc:Choice Requires="x14">
            <control shapeId="5128" r:id="rId10" name="Drop Down 8">
              <controlPr defaultSize="0" autoLine="0" autoPict="0">
                <anchor>
                  <from>
                    <xdr:col>1</xdr:col>
                    <xdr:colOff>38100</xdr:colOff>
                    <xdr:row>35</xdr:row>
                    <xdr:rowOff>95250</xdr:rowOff>
                  </from>
                  <to>
                    <xdr:col>1</xdr:col>
                    <xdr:colOff>2209800</xdr:colOff>
                    <xdr:row>36</xdr:row>
                    <xdr:rowOff>200025</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37"/>
  <sheetViews>
    <sheetView topLeftCell="A13" zoomScale="115" zoomScaleNormal="115" workbookViewId="0">
      <selection activeCell="B14" sqref="B14:E14"/>
    </sheetView>
  </sheetViews>
  <sheetFormatPr defaultColWidth="9.140625" defaultRowHeight="15"/>
  <cols>
    <col min="1" max="1" width="4.42578125" customWidth="1"/>
    <col min="2" max="2" width="32.42578125" customWidth="1"/>
    <col min="3" max="3" width="30.42578125" customWidth="1"/>
    <col min="4" max="4" width="8.140625" customWidth="1"/>
    <col min="5" max="5" width="23.42578125" customWidth="1"/>
    <col min="6" max="7" width="13.5703125" customWidth="1"/>
    <col min="8" max="8" width="23.42578125" hidden="1" customWidth="1"/>
    <col min="9" max="9" width="14.7109375" hidden="1" customWidth="1"/>
    <col min="10" max="10" width="16.28515625" hidden="1" customWidth="1"/>
    <col min="11" max="11" width="24.42578125" hidden="1" customWidth="1"/>
    <col min="12" max="13" width="13.7109375" customWidth="1"/>
    <col min="14" max="15" width="8.7109375" customWidth="1"/>
  </cols>
  <sheetData>
    <row r="1" spans="1:11" ht="30" customHeight="1">
      <c r="A1" s="125" t="s">
        <v>117</v>
      </c>
      <c r="B1" s="89"/>
      <c r="C1" s="89"/>
      <c r="D1" s="89"/>
      <c r="E1" s="90"/>
      <c r="I1" s="109" t="s">
        <v>110</v>
      </c>
      <c r="J1" s="109"/>
      <c r="K1" s="13">
        <v>4</v>
      </c>
    </row>
    <row r="2" spans="1:11" ht="30" customHeight="1">
      <c r="A2" s="91"/>
      <c r="B2" s="92"/>
      <c r="C2" s="92"/>
      <c r="D2" s="92"/>
      <c r="E2" s="93"/>
    </row>
    <row r="3" spans="1:11" ht="30" customHeight="1">
      <c r="A3" s="91"/>
      <c r="B3" s="92"/>
      <c r="C3" s="92"/>
      <c r="D3" s="92"/>
      <c r="E3" s="93"/>
    </row>
    <row r="4" spans="1:11" ht="30" customHeight="1">
      <c r="A4" s="91"/>
      <c r="B4" s="92"/>
      <c r="C4" s="92"/>
      <c r="D4" s="92"/>
      <c r="E4" s="93"/>
    </row>
    <row r="5" spans="1:11" ht="14.65" customHeight="1">
      <c r="A5" s="91"/>
      <c r="B5" s="92"/>
      <c r="C5" s="92"/>
      <c r="D5" s="92"/>
      <c r="E5" s="93"/>
    </row>
    <row r="6" spans="1:11" ht="14.65" customHeight="1">
      <c r="A6" s="91"/>
      <c r="B6" s="92"/>
      <c r="C6" s="92"/>
      <c r="D6" s="92"/>
      <c r="E6" s="93"/>
    </row>
    <row r="7" spans="1:11" ht="15" customHeight="1" thickBot="1">
      <c r="A7" s="94"/>
      <c r="B7" s="95"/>
      <c r="C7" s="95"/>
      <c r="D7" s="95"/>
      <c r="E7" s="96"/>
      <c r="H7" s="1" t="s">
        <v>95</v>
      </c>
      <c r="I7" s="1" t="s">
        <v>92</v>
      </c>
      <c r="J7" s="1" t="s">
        <v>93</v>
      </c>
      <c r="K7" s="1" t="s">
        <v>94</v>
      </c>
    </row>
    <row r="8" spans="1:11" ht="30" customHeight="1">
      <c r="A8" s="98">
        <v>1</v>
      </c>
      <c r="B8" s="112" t="s">
        <v>201</v>
      </c>
      <c r="C8" s="113"/>
      <c r="D8" s="113"/>
      <c r="E8" s="114"/>
      <c r="H8" s="1" t="s">
        <v>96</v>
      </c>
      <c r="I8" s="12">
        <v>10.9</v>
      </c>
      <c r="J8" s="12">
        <f>B10*C10/1000000*I8+E10/1000</f>
        <v>9.2560000000000002</v>
      </c>
      <c r="K8" s="13" t="s">
        <v>4</v>
      </c>
    </row>
    <row r="9" spans="1:11">
      <c r="A9" s="98"/>
      <c r="B9" s="7" t="s">
        <v>112</v>
      </c>
      <c r="C9" s="8" t="s">
        <v>106</v>
      </c>
      <c r="D9" s="110" t="s">
        <v>0</v>
      </c>
      <c r="E9" s="21" t="s">
        <v>90</v>
      </c>
      <c r="H9" s="1" t="s">
        <v>97</v>
      </c>
      <c r="I9" s="12">
        <v>12.2</v>
      </c>
      <c r="J9" s="12">
        <f>B10*C10/1000000*I9+E10/1000</f>
        <v>10.347999999999999</v>
      </c>
      <c r="K9" s="12">
        <f>IF(K1=2,J9,K10)</f>
        <v>12.28</v>
      </c>
    </row>
    <row r="10" spans="1:11" ht="30" customHeight="1" thickBot="1">
      <c r="A10" s="99"/>
      <c r="B10" s="9">
        <v>700</v>
      </c>
      <c r="C10" s="10">
        <v>1200</v>
      </c>
      <c r="D10" s="111"/>
      <c r="E10" s="11">
        <v>100</v>
      </c>
      <c r="H10" s="1" t="s">
        <v>98</v>
      </c>
      <c r="I10" s="12">
        <v>12.1</v>
      </c>
      <c r="J10" s="12">
        <f>B10*C10/1000000*I10+E10/1000</f>
        <v>10.263999999999999</v>
      </c>
      <c r="K10" s="12">
        <f>IF(K1=3,J10,K11)</f>
        <v>12.28</v>
      </c>
    </row>
    <row r="11" spans="1:11" ht="30" customHeight="1">
      <c r="A11" s="97">
        <v>2</v>
      </c>
      <c r="B11" s="122" t="s">
        <v>188</v>
      </c>
      <c r="C11" s="123"/>
      <c r="D11" s="123"/>
      <c r="E11" s="124"/>
      <c r="H11" s="1" t="s">
        <v>99</v>
      </c>
      <c r="I11" s="12">
        <v>14.5</v>
      </c>
      <c r="J11" s="12">
        <f>B10*C10/1000000*I11+E10/1000</f>
        <v>12.28</v>
      </c>
      <c r="K11" s="12">
        <f>IF(K1=4,J11,K12)</f>
        <v>12.28</v>
      </c>
    </row>
    <row r="12" spans="1:11">
      <c r="A12" s="98"/>
      <c r="B12" s="103"/>
      <c r="C12" s="2" t="s">
        <v>155</v>
      </c>
      <c r="D12" s="135" t="s">
        <v>197</v>
      </c>
      <c r="E12" s="136"/>
      <c r="H12" s="1" t="s">
        <v>114</v>
      </c>
      <c r="I12" s="12">
        <v>16.5</v>
      </c>
      <c r="J12" s="12">
        <f>B10*C10/1000000*I12+E10/1000</f>
        <v>13.959999999999999</v>
      </c>
      <c r="K12" s="12">
        <f>IF(K1=5,J12,K13)</f>
        <v>0</v>
      </c>
    </row>
    <row r="13" spans="1:11" ht="30" customHeight="1" thickBot="1">
      <c r="A13" s="99"/>
      <c r="B13" s="104"/>
      <c r="C13" s="18">
        <f>IF(K1=1,J8,K9)</f>
        <v>12.28</v>
      </c>
      <c r="D13" s="126">
        <f>B10</f>
        <v>700</v>
      </c>
      <c r="E13" s="127"/>
      <c r="H13" s="1" t="s">
        <v>100</v>
      </c>
      <c r="I13" s="12">
        <v>11</v>
      </c>
      <c r="J13" s="12">
        <f>B10*C10/1000000*I13+E10/1000</f>
        <v>9.34</v>
      </c>
      <c r="K13" s="12">
        <f>IF(K1=6,J13,K14)</f>
        <v>0</v>
      </c>
    </row>
    <row r="14" spans="1:11" ht="80.099999999999994" customHeight="1" thickBot="1">
      <c r="A14" s="97">
        <v>3</v>
      </c>
      <c r="B14" s="122" t="s">
        <v>198</v>
      </c>
      <c r="C14" s="123"/>
      <c r="D14" s="123"/>
      <c r="E14" s="124"/>
      <c r="F14" s="139" t="s">
        <v>170</v>
      </c>
      <c r="G14" s="140"/>
      <c r="H14" s="36" t="s">
        <v>101</v>
      </c>
      <c r="I14" s="12">
        <v>12</v>
      </c>
      <c r="J14" s="12">
        <f>B10*C10/1000000*I14+E10/1000</f>
        <v>10.18</v>
      </c>
      <c r="K14" s="12">
        <f>IF(K1=7,J14,K15)</f>
        <v>0</v>
      </c>
    </row>
    <row r="15" spans="1:11" ht="33" customHeight="1" thickBot="1">
      <c r="A15" s="98"/>
      <c r="B15" s="3" t="s">
        <v>163</v>
      </c>
      <c r="C15" s="2" t="s">
        <v>155</v>
      </c>
      <c r="D15" s="135" t="s">
        <v>197</v>
      </c>
      <c r="E15" s="136"/>
      <c r="F15" s="50" t="s">
        <v>199</v>
      </c>
      <c r="G15" s="49" t="s">
        <v>200</v>
      </c>
      <c r="H15" s="36" t="s">
        <v>115</v>
      </c>
      <c r="I15" s="12">
        <v>15</v>
      </c>
      <c r="J15" s="12">
        <f>B10*C10/1000000*I15+E10/1000</f>
        <v>12.7</v>
      </c>
      <c r="K15" s="12">
        <f>IF(K1=8,J15,K16)</f>
        <v>0</v>
      </c>
    </row>
    <row r="16" spans="1:11">
      <c r="A16" s="98"/>
      <c r="B16" s="16" t="s">
        <v>26</v>
      </c>
      <c r="C16" s="14" t="s">
        <v>62</v>
      </c>
      <c r="D16" s="86" t="s">
        <v>22</v>
      </c>
      <c r="E16" s="87"/>
      <c r="F16" s="51" t="str">
        <f>H17</f>
        <v/>
      </c>
      <c r="G16" s="45" t="str">
        <f>I17</f>
        <v/>
      </c>
      <c r="H16" s="35" t="s">
        <v>102</v>
      </c>
      <c r="I16" s="30">
        <v>11.2</v>
      </c>
      <c r="J16" s="12">
        <f>B10*C10/1000000*I16+E10/1000</f>
        <v>9.5079999999999991</v>
      </c>
      <c r="K16" s="12">
        <f>IF(K1=9,J16,K17)</f>
        <v>0</v>
      </c>
    </row>
    <row r="17" spans="1:11">
      <c r="A17" s="98"/>
      <c r="B17" s="16" t="s">
        <v>27</v>
      </c>
      <c r="C17" s="14" t="s">
        <v>34</v>
      </c>
      <c r="D17" s="86" t="s">
        <v>22</v>
      </c>
      <c r="E17" s="87"/>
      <c r="F17" s="51" t="str">
        <f t="shared" ref="F17:F33" si="0">H18</f>
        <v/>
      </c>
      <c r="G17" s="45" t="str">
        <f t="shared" ref="G17:G33" si="1">I18</f>
        <v/>
      </c>
      <c r="H17" s="47" t="str">
        <f>IF(($C$13&gt;5)*($C$13&lt;9.6)*($D$13&gt;=480)*($D$13&lt;=529),"ST01AL02A","")</f>
        <v/>
      </c>
      <c r="I17" s="48" t="str">
        <f>IF(($C$13&gt;5)*($C$13&lt;9.6)*($D$13&gt;=480)*($D$13&lt;=529),"ST01AL02B","")</f>
        <v/>
      </c>
    </row>
    <row r="18" spans="1:11">
      <c r="A18" s="98"/>
      <c r="B18" s="16" t="s">
        <v>28</v>
      </c>
      <c r="C18" s="14" t="s">
        <v>23</v>
      </c>
      <c r="D18" s="86" t="s">
        <v>25</v>
      </c>
      <c r="E18" s="87"/>
      <c r="F18" s="51" t="str">
        <f t="shared" si="0"/>
        <v/>
      </c>
      <c r="G18" s="45" t="str">
        <f t="shared" si="1"/>
        <v/>
      </c>
      <c r="H18" s="47" t="str">
        <f>IF(($C$13&gt;=9.6)*($C$13&lt;16)*($D$13&gt;=480)*($D$13&lt;=529),"ST01AM02A","")</f>
        <v/>
      </c>
      <c r="I18" s="48" t="str">
        <f>IF(($C$13&gt;=9.6)*($C$13&lt;16)*($D$13&gt;=480)*($D$13&lt;=529),"ST01AM02B","")</f>
        <v/>
      </c>
    </row>
    <row r="19" spans="1:11">
      <c r="A19" s="98"/>
      <c r="B19" s="16" t="s">
        <v>29</v>
      </c>
      <c r="C19" s="14" t="s">
        <v>24</v>
      </c>
      <c r="D19" s="86" t="s">
        <v>25</v>
      </c>
      <c r="E19" s="87"/>
      <c r="F19" s="51" t="str">
        <f t="shared" si="0"/>
        <v/>
      </c>
      <c r="G19" s="45" t="str">
        <f t="shared" si="1"/>
        <v/>
      </c>
      <c r="H19" s="47" t="str">
        <f>IF(($C$13&gt;4.5)*($C$13&lt;8.7)*($D$13&gt;=530)*($D$13&lt;=589),"ST02AL02A","")</f>
        <v/>
      </c>
      <c r="I19" s="48" t="str">
        <f>IF(($C$13&gt;4.5)*($C$13&lt;8.7)*($D$13&gt;=530)*($D$13&lt;=589),"ST02AL02B","")</f>
        <v/>
      </c>
      <c r="J19" s="22"/>
      <c r="K19" s="22"/>
    </row>
    <row r="20" spans="1:11">
      <c r="A20" s="98"/>
      <c r="B20" s="16" t="s">
        <v>30</v>
      </c>
      <c r="C20" s="14" t="s">
        <v>33</v>
      </c>
      <c r="D20" s="86" t="s">
        <v>32</v>
      </c>
      <c r="E20" s="87"/>
      <c r="F20" s="51" t="str">
        <f t="shared" si="0"/>
        <v/>
      </c>
      <c r="G20" s="45" t="str">
        <f t="shared" si="1"/>
        <v/>
      </c>
      <c r="H20" s="47" t="str">
        <f>IF(($C$13&gt;=8.7)*($C$13&lt;14.4)*($D$13&gt;=530)*($D$13&lt;=589),"ST02AM02A","")</f>
        <v/>
      </c>
      <c r="I20" s="48" t="str">
        <f>IF(($C$13&gt;=8.7)*($C$13&lt;14.4)*($D$13&gt;=530)*($D$13&lt;=589),"ST02AM02B","")</f>
        <v/>
      </c>
      <c r="J20" s="22"/>
      <c r="K20" s="22"/>
    </row>
    <row r="21" spans="1:11">
      <c r="A21" s="98"/>
      <c r="B21" s="16" t="s">
        <v>31</v>
      </c>
      <c r="C21" s="14" t="s">
        <v>35</v>
      </c>
      <c r="D21" s="86" t="s">
        <v>32</v>
      </c>
      <c r="E21" s="87"/>
      <c r="F21" s="51" t="str">
        <f t="shared" si="0"/>
        <v/>
      </c>
      <c r="G21" s="45" t="str">
        <f t="shared" si="1"/>
        <v/>
      </c>
      <c r="H21" s="47" t="str">
        <f>IF(($C$13&gt;4.1)*($C$13&lt;7.8)*($D$13&gt;=590)*($D$13&lt;=649),"ST03AL02A","")</f>
        <v/>
      </c>
      <c r="I21" s="48" t="str">
        <f>IF(($C$13&gt;4.1)*($C$13&lt;7.8)*($D$13&gt;=590)*($D$13&lt;=649),"ST03AL02B","")</f>
        <v/>
      </c>
      <c r="J21" s="22"/>
      <c r="K21" s="22"/>
    </row>
    <row r="22" spans="1:11">
      <c r="A22" s="98"/>
      <c r="B22" s="16" t="s">
        <v>36</v>
      </c>
      <c r="C22" s="14" t="s">
        <v>39</v>
      </c>
      <c r="D22" s="86" t="s">
        <v>51</v>
      </c>
      <c r="E22" s="87"/>
      <c r="F22" s="51" t="str">
        <f t="shared" si="0"/>
        <v/>
      </c>
      <c r="G22" s="45" t="str">
        <f t="shared" si="1"/>
        <v/>
      </c>
      <c r="H22" s="47" t="str">
        <f>IF(($C$13&gt;=7.8)*($C$13&lt;13)*($D$13&gt;=590)*($D$13&lt;=649),"ST03AM02A","")</f>
        <v/>
      </c>
      <c r="I22" s="48" t="str">
        <f>IF(($C$13&gt;=7.8)*($C$13&lt;13)*($D$13&gt;=590)*($D$13&lt;=649),"ST03AM02B","")</f>
        <v/>
      </c>
      <c r="J22" s="22"/>
      <c r="K22" s="22"/>
    </row>
    <row r="23" spans="1:11">
      <c r="A23" s="98"/>
      <c r="B23" s="16" t="s">
        <v>37</v>
      </c>
      <c r="C23" s="14" t="s">
        <v>40</v>
      </c>
      <c r="D23" s="86" t="s">
        <v>51</v>
      </c>
      <c r="E23" s="87"/>
      <c r="F23" s="51" t="str">
        <f t="shared" si="0"/>
        <v/>
      </c>
      <c r="G23" s="45" t="str">
        <f t="shared" si="1"/>
        <v/>
      </c>
      <c r="H23" s="47" t="str">
        <f>IF(($C$13&gt;3.7)*($C$13&lt;7)*($D$13&gt;=650)*($D$13&lt;=729),"ST04AL02A","")</f>
        <v/>
      </c>
      <c r="I23" s="48" t="str">
        <f>IF(($C$13&gt;3.7)*($C$13&lt;7)*($D$13&gt;=650)*($D$13&lt;=729),"ST04AL02B","")</f>
        <v/>
      </c>
      <c r="J23" s="22"/>
      <c r="K23" s="22"/>
    </row>
    <row r="24" spans="1:11">
      <c r="A24" s="98"/>
      <c r="B24" s="19" t="s">
        <v>38</v>
      </c>
      <c r="C24" s="14" t="s">
        <v>41</v>
      </c>
      <c r="D24" s="86" t="s">
        <v>51</v>
      </c>
      <c r="E24" s="87"/>
      <c r="F24" s="51" t="str">
        <f t="shared" si="0"/>
        <v>ST04AH02A</v>
      </c>
      <c r="G24" s="45" t="str">
        <f t="shared" si="1"/>
        <v>ST04AH02B</v>
      </c>
      <c r="H24" s="47" t="str">
        <f>IF(($C$13&gt;=7)*($C$13&lt;11.5)*($D$13&gt;=650)*($D$13&lt;=729),"ST04AM02A","")</f>
        <v/>
      </c>
      <c r="I24" s="48" t="str">
        <f>IF(($C$13&gt;=7)*($C$13&lt;11.5)*($D$13&gt;=650)*($D$13&lt;=729),"ST04AM02B","")</f>
        <v/>
      </c>
      <c r="J24" s="22"/>
      <c r="K24" s="22"/>
    </row>
    <row r="25" spans="1:11">
      <c r="A25" s="141"/>
      <c r="B25" s="16" t="s">
        <v>42</v>
      </c>
      <c r="C25" s="14" t="s">
        <v>45</v>
      </c>
      <c r="D25" s="86" t="s">
        <v>52</v>
      </c>
      <c r="E25" s="87"/>
      <c r="F25" s="51" t="str">
        <f t="shared" si="0"/>
        <v/>
      </c>
      <c r="G25" s="45" t="str">
        <f t="shared" si="1"/>
        <v/>
      </c>
      <c r="H25" s="47" t="str">
        <f>IF(($C$13&gt;=11.5)*($C$13&lt;19.8)*($D$13&gt;=650)*($D$13&lt;=729),"ST04AH02A","")</f>
        <v>ST04AH02A</v>
      </c>
      <c r="I25" s="48" t="str">
        <f>IF(($C$13&gt;=11.5)*($C$13&lt;19.8)*($D$13&gt;=650)*($D$13&lt;=729),"ST04AH02B","")</f>
        <v>ST04AH02B</v>
      </c>
      <c r="J25" s="22"/>
      <c r="K25" s="22"/>
    </row>
    <row r="26" spans="1:11">
      <c r="A26" s="98"/>
      <c r="B26" s="16" t="s">
        <v>43</v>
      </c>
      <c r="C26" s="14" t="s">
        <v>46</v>
      </c>
      <c r="D26" s="86" t="s">
        <v>52</v>
      </c>
      <c r="E26" s="87"/>
      <c r="F26" s="51" t="str">
        <f t="shared" si="0"/>
        <v/>
      </c>
      <c r="G26" s="45" t="str">
        <f t="shared" si="1"/>
        <v/>
      </c>
      <c r="H26" s="47" t="str">
        <f>IF(($C$13&gt;3.2)*($C$13&lt;6.3)*($D$13&gt;=730)*($D$13&lt;=799),"ST05AL02A","")</f>
        <v/>
      </c>
      <c r="I26" s="48" t="str">
        <f>IF(($C$13&gt;3.2)*($C$13&lt;6.3)*($D$13&gt;=730)*($D$13&lt;=799),"ST05AL02B","")</f>
        <v/>
      </c>
      <c r="J26" s="22"/>
      <c r="K26" s="22"/>
    </row>
    <row r="27" spans="1:11">
      <c r="A27" s="98"/>
      <c r="B27" s="19" t="s">
        <v>44</v>
      </c>
      <c r="C27" s="14" t="s">
        <v>47</v>
      </c>
      <c r="D27" s="86" t="s">
        <v>52</v>
      </c>
      <c r="E27" s="87"/>
      <c r="F27" s="51" t="str">
        <f t="shared" si="0"/>
        <v/>
      </c>
      <c r="G27" s="45" t="str">
        <f t="shared" si="1"/>
        <v/>
      </c>
      <c r="H27" s="47" t="str">
        <f>IF(($C$13&gt;=6.3)*($C$13&lt;10.5)*($D$13&gt;=730)*($D$13&lt;=799),"ST05AM02A","")</f>
        <v/>
      </c>
      <c r="I27" s="48" t="str">
        <f>IF(($C$13&gt;=6.3)*($C$13&lt;10.5)*($D$13&gt;=730)*($D$13&lt;=799),"ST05AM02B","")</f>
        <v/>
      </c>
    </row>
    <row r="28" spans="1:11">
      <c r="A28" s="98"/>
      <c r="B28" s="16" t="s">
        <v>48</v>
      </c>
      <c r="C28" s="14" t="s">
        <v>63</v>
      </c>
      <c r="D28" s="86" t="s">
        <v>53</v>
      </c>
      <c r="E28" s="87"/>
      <c r="F28" s="51" t="str">
        <f t="shared" si="0"/>
        <v/>
      </c>
      <c r="G28" s="45" t="str">
        <f t="shared" si="1"/>
        <v/>
      </c>
      <c r="H28" s="47" t="str">
        <f>IF(($C$13&gt;=10.5)*($C$13&lt;18.1)*($D$13&gt;=730)*($D$13&lt;=799),"ST05AH02A","")</f>
        <v/>
      </c>
      <c r="I28" s="48" t="str">
        <f>IF(($C$13&gt;=10.5)*($C$13&lt;18.1)*($D$13&gt;=730)*($D$13&lt;=799),"ST05AH02B","")</f>
        <v/>
      </c>
    </row>
    <row r="29" spans="1:11">
      <c r="A29" s="98"/>
      <c r="B29" s="19" t="s">
        <v>49</v>
      </c>
      <c r="C29" s="14" t="s">
        <v>50</v>
      </c>
      <c r="D29" s="86" t="s">
        <v>53</v>
      </c>
      <c r="E29" s="87"/>
      <c r="F29" s="51" t="str">
        <f t="shared" si="0"/>
        <v/>
      </c>
      <c r="G29" s="45" t="str">
        <f t="shared" si="1"/>
        <v/>
      </c>
      <c r="H29" s="47" t="str">
        <f>IF(($C$13&gt;5.8)*($C$13&lt;9.5)*($D$13&gt;=800)*($D$13&lt;=879),"ST06AM02A","")</f>
        <v/>
      </c>
      <c r="I29" s="48" t="str">
        <f>IF(($C$13&gt;5.8)*($C$13&lt;9.5)*($D$13&gt;=800)*($D$13&lt;=879),"ST06AM02B","")</f>
        <v/>
      </c>
    </row>
    <row r="30" spans="1:11">
      <c r="A30" s="98"/>
      <c r="B30" s="16" t="s">
        <v>54</v>
      </c>
      <c r="C30" s="14" t="s">
        <v>56</v>
      </c>
      <c r="D30" s="86" t="s">
        <v>58</v>
      </c>
      <c r="E30" s="87"/>
      <c r="F30" s="51" t="str">
        <f t="shared" si="0"/>
        <v/>
      </c>
      <c r="G30" s="45" t="str">
        <f t="shared" si="1"/>
        <v/>
      </c>
      <c r="H30" s="47" t="str">
        <f>IF(($C$13&gt;=9.5)*($C$13&lt;16.5)*($D$13&gt;=800)*($D$13&lt;=879),"ST06AH02A","")</f>
        <v/>
      </c>
      <c r="I30" s="48" t="str">
        <f>IF(($C$13&gt;=9.5)*($C$13&lt;16.5)*($D$13&gt;=800)*($D$13&lt;=879),"ST06AH02B","")</f>
        <v/>
      </c>
    </row>
    <row r="31" spans="1:11">
      <c r="A31" s="98"/>
      <c r="B31" s="19" t="s">
        <v>55</v>
      </c>
      <c r="C31" s="14" t="s">
        <v>57</v>
      </c>
      <c r="D31" s="86" t="s">
        <v>58</v>
      </c>
      <c r="E31" s="87"/>
      <c r="F31" s="51" t="str">
        <f t="shared" si="0"/>
        <v/>
      </c>
      <c r="G31" s="45" t="str">
        <f t="shared" si="1"/>
        <v/>
      </c>
      <c r="H31" s="47" t="str">
        <f>IF(($C$13&gt;5.2)*($C$13&lt;8.7)*($D$13&gt;=880)*($D$13&lt;=959),"ST07AM02A","")</f>
        <v/>
      </c>
      <c r="I31" s="48" t="str">
        <f>IF(($C$13&gt;5.2)*($C$13&lt;8.7)*($D$13&gt;=880)*($D$13&lt;=959),"ST07AM02B","")</f>
        <v/>
      </c>
    </row>
    <row r="32" spans="1:11">
      <c r="A32" s="98"/>
      <c r="B32" s="19" t="s">
        <v>64</v>
      </c>
      <c r="C32" s="14" t="s">
        <v>65</v>
      </c>
      <c r="D32" s="86" t="s">
        <v>61</v>
      </c>
      <c r="E32" s="87"/>
      <c r="F32" s="51" t="str">
        <f t="shared" si="0"/>
        <v/>
      </c>
      <c r="G32" s="45" t="str">
        <f t="shared" si="1"/>
        <v/>
      </c>
      <c r="H32" s="47" t="str">
        <f>IF(($C$13&gt;=8.7)*($C$13&lt;15.1)*($D$13&gt;=880)*($D$13&lt;=959),"ST07AH02A","")</f>
        <v/>
      </c>
      <c r="I32" s="48" t="str">
        <f>IF(($C$13&gt;=8.7)*($C$13&lt;15.1)*($D$13&gt;=880)*($D$13&lt;=959),"ST07AH02B","")</f>
        <v/>
      </c>
    </row>
    <row r="33" spans="1:9" ht="15.75" thickBot="1">
      <c r="A33" s="98"/>
      <c r="B33" s="19" t="s">
        <v>59</v>
      </c>
      <c r="C33" s="14" t="s">
        <v>60</v>
      </c>
      <c r="D33" s="86" t="s">
        <v>61</v>
      </c>
      <c r="E33" s="87"/>
      <c r="F33" s="52" t="str">
        <f t="shared" si="0"/>
        <v/>
      </c>
      <c r="G33" s="46" t="str">
        <f t="shared" si="1"/>
        <v/>
      </c>
      <c r="H33" s="47" t="str">
        <f>IF(($C$13&gt;4.8)*($C$13&lt;8)*($D$13&gt;=960)*($D$13&lt;=1040),"ST08AM02A","")</f>
        <v/>
      </c>
      <c r="I33" s="48" t="str">
        <f>IF(($C$13&gt;4.8)*($C$13&lt;8)*($D$13&gt;=960)*($D$13&lt;=1040),"ST08AM02B","")</f>
        <v/>
      </c>
    </row>
    <row r="34" spans="1:9">
      <c r="A34" s="80" t="s">
        <v>105</v>
      </c>
      <c r="B34" s="81"/>
      <c r="C34" s="81"/>
      <c r="D34" s="81"/>
      <c r="E34" s="82"/>
      <c r="H34" s="47" t="str">
        <f>IF(($C$13&gt;=8)*($C$13&lt;13.9)*($D$13&gt;=960)*($D$13&lt;=1040),"ST08AH02A","")</f>
        <v/>
      </c>
      <c r="I34" s="48" t="str">
        <f>IF(($C$13&gt;=8)*($C$13&lt;13.9)*($D$13&gt;=960)*($D$13&lt;=1040),"ST08AH02B","")</f>
        <v/>
      </c>
    </row>
    <row r="35" spans="1:9" ht="15.75" thickBot="1">
      <c r="A35" s="83"/>
      <c r="B35" s="84"/>
      <c r="C35" s="84"/>
      <c r="D35" s="84"/>
      <c r="E35" s="85"/>
      <c r="I35" s="22"/>
    </row>
    <row r="36" spans="1:9">
      <c r="I36" s="22"/>
    </row>
    <row r="37" spans="1:9">
      <c r="I37" s="22"/>
    </row>
  </sheetData>
  <mergeCells count="33">
    <mergeCell ref="I1:J1"/>
    <mergeCell ref="A8:A10"/>
    <mergeCell ref="B8:E8"/>
    <mergeCell ref="D9:D10"/>
    <mergeCell ref="A11:A13"/>
    <mergeCell ref="B11:E11"/>
    <mergeCell ref="B12:B13"/>
    <mergeCell ref="D12:E12"/>
    <mergeCell ref="D13:E13"/>
    <mergeCell ref="D33:E33"/>
    <mergeCell ref="D31:E31"/>
    <mergeCell ref="A1:E7"/>
    <mergeCell ref="D26:E26"/>
    <mergeCell ref="D27:E27"/>
    <mergeCell ref="D28:E28"/>
    <mergeCell ref="D16:E16"/>
    <mergeCell ref="D29:E29"/>
    <mergeCell ref="F14:G14"/>
    <mergeCell ref="D32:E32"/>
    <mergeCell ref="A34:E35"/>
    <mergeCell ref="D17:E17"/>
    <mergeCell ref="D18:E18"/>
    <mergeCell ref="D19:E19"/>
    <mergeCell ref="D20:E20"/>
    <mergeCell ref="D21:E21"/>
    <mergeCell ref="D22:E22"/>
    <mergeCell ref="D23:E23"/>
    <mergeCell ref="D24:E24"/>
    <mergeCell ref="D25:E25"/>
    <mergeCell ref="A14:A33"/>
    <mergeCell ref="B14:E14"/>
    <mergeCell ref="D15:E15"/>
    <mergeCell ref="D30:E30"/>
  </mergeCells>
  <phoneticPr fontId="14" type="noConversion"/>
  <hyperlinks>
    <hyperlink ref="A34" r:id="rId1" xr:uid="{00000000-0004-0000-0400-000000000000}"/>
  </hyperlinks>
  <pageMargins left="0.25" right="0.25" top="0.75" bottom="0.75" header="0.3" footer="0.3"/>
  <pageSetup paperSize="9" orientation="portrait" r:id="rId2"/>
  <drawing r:id="rId3"/>
  <legacyDrawing r:id="rId4"/>
  <oleObjects>
    <mc:AlternateContent xmlns:mc="http://schemas.openxmlformats.org/markup-compatibility/2006">
      <mc:Choice Requires="x14">
        <oleObject progId="CorelDraw.Graphic.18" shapeId="6146" r:id="rId5">
          <objectPr defaultSize="0" autoPict="0" r:id="rId6">
            <anchor moveWithCells="1">
              <from>
                <xdr:col>0</xdr:col>
                <xdr:colOff>152400</xdr:colOff>
                <xdr:row>0</xdr:row>
                <xdr:rowOff>161925</xdr:rowOff>
              </from>
              <to>
                <xdr:col>1</xdr:col>
                <xdr:colOff>1638300</xdr:colOff>
                <xdr:row>2</xdr:row>
                <xdr:rowOff>19050</xdr:rowOff>
              </to>
            </anchor>
          </objectPr>
        </oleObject>
      </mc:Choice>
      <mc:Fallback>
        <oleObject progId="CorelDraw.Graphic.18" shapeId="6146" r:id="rId5"/>
      </mc:Fallback>
    </mc:AlternateContent>
  </oleObjects>
  <mc:AlternateContent xmlns:mc="http://schemas.openxmlformats.org/markup-compatibility/2006">
    <mc:Choice Requires="x14">
      <controls>
        <mc:AlternateContent xmlns:mc="http://schemas.openxmlformats.org/markup-compatibility/2006">
          <mc:Choice Requires="x14">
            <control shapeId="6145" r:id="rId7" name="Drop Down 1">
              <controlPr defaultSize="0" autoLine="0" autoPict="0">
                <anchor>
                  <from>
                    <xdr:col>1</xdr:col>
                    <xdr:colOff>85725</xdr:colOff>
                    <xdr:row>11</xdr:row>
                    <xdr:rowOff>66675</xdr:rowOff>
                  </from>
                  <to>
                    <xdr:col>2</xdr:col>
                    <xdr:colOff>0</xdr:colOff>
                    <xdr:row>13</xdr:row>
                    <xdr:rowOff>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649CDA-6F4E-4A93-8BBD-146887EB7829}">
  <dimension ref="A1:L41"/>
  <sheetViews>
    <sheetView topLeftCell="A17" workbookViewId="0">
      <selection activeCell="H40" sqref="H40"/>
    </sheetView>
  </sheetViews>
  <sheetFormatPr defaultColWidth="9.140625" defaultRowHeight="15"/>
  <cols>
    <col min="1" max="1" width="4.7109375" customWidth="1"/>
    <col min="2" max="2" width="37.7109375" customWidth="1"/>
    <col min="3" max="3" width="25.7109375" customWidth="1"/>
    <col min="4" max="4" width="7.7109375" customWidth="1"/>
    <col min="5" max="5" width="21.28515625" customWidth="1"/>
    <col min="6" max="7" width="25.7109375" customWidth="1"/>
    <col min="8" max="8" width="13.140625" customWidth="1"/>
    <col min="9" max="9" width="18.28515625" hidden="1" customWidth="1"/>
    <col min="10" max="10" width="13.85546875" hidden="1" customWidth="1"/>
    <col min="11" max="11" width="19.140625" hidden="1" customWidth="1"/>
    <col min="12" max="12" width="16.7109375" hidden="1" customWidth="1"/>
    <col min="13" max="14" width="13.7109375" customWidth="1"/>
    <col min="15" max="16" width="8.7109375" customWidth="1"/>
  </cols>
  <sheetData>
    <row r="1" spans="1:12" ht="19.899999999999999" customHeight="1">
      <c r="A1" s="125" t="s">
        <v>119</v>
      </c>
      <c r="B1" s="89"/>
      <c r="C1" s="89"/>
      <c r="D1" s="89"/>
      <c r="E1" s="89"/>
      <c r="F1" s="89"/>
      <c r="G1" s="90"/>
      <c r="J1" s="109" t="s">
        <v>143</v>
      </c>
      <c r="K1" s="109"/>
      <c r="L1" s="13">
        <v>2</v>
      </c>
    </row>
    <row r="2" spans="1:12" ht="19.899999999999999" customHeight="1">
      <c r="A2" s="91"/>
      <c r="B2" s="92"/>
      <c r="C2" s="92"/>
      <c r="D2" s="92"/>
      <c r="E2" s="92"/>
      <c r="F2" s="92"/>
      <c r="G2" s="93"/>
    </row>
    <row r="3" spans="1:12" ht="19.899999999999999" customHeight="1">
      <c r="A3" s="91"/>
      <c r="B3" s="92"/>
      <c r="C3" s="92"/>
      <c r="D3" s="92"/>
      <c r="E3" s="92"/>
      <c r="F3" s="92"/>
      <c r="G3" s="93"/>
    </row>
    <row r="4" spans="1:12" ht="19.899999999999999" customHeight="1">
      <c r="A4" s="91"/>
      <c r="B4" s="92"/>
      <c r="C4" s="92"/>
      <c r="D4" s="92"/>
      <c r="E4" s="92"/>
      <c r="F4" s="92"/>
      <c r="G4" s="93"/>
    </row>
    <row r="5" spans="1:12" ht="19.899999999999999" customHeight="1">
      <c r="A5" s="91"/>
      <c r="B5" s="92"/>
      <c r="C5" s="92"/>
      <c r="D5" s="92"/>
      <c r="E5" s="92"/>
      <c r="F5" s="92"/>
      <c r="G5" s="93"/>
    </row>
    <row r="6" spans="1:12" ht="19.899999999999999" customHeight="1">
      <c r="A6" s="91"/>
      <c r="B6" s="92"/>
      <c r="C6" s="92"/>
      <c r="D6" s="92"/>
      <c r="E6" s="92"/>
      <c r="F6" s="92"/>
      <c r="G6" s="93"/>
    </row>
    <row r="7" spans="1:12" ht="19.899999999999999" customHeight="1" thickBot="1">
      <c r="A7" s="91"/>
      <c r="B7" s="92"/>
      <c r="C7" s="92"/>
      <c r="D7" s="92"/>
      <c r="E7" s="92"/>
      <c r="F7" s="92"/>
      <c r="G7" s="93"/>
      <c r="I7" s="1" t="s">
        <v>95</v>
      </c>
      <c r="J7" s="1" t="s">
        <v>92</v>
      </c>
      <c r="K7" s="1" t="s">
        <v>93</v>
      </c>
      <c r="L7" s="1" t="s">
        <v>94</v>
      </c>
    </row>
    <row r="8" spans="1:12" ht="30" customHeight="1">
      <c r="A8" s="144">
        <v>1</v>
      </c>
      <c r="B8" s="147" t="s">
        <v>224</v>
      </c>
      <c r="C8" s="147"/>
      <c r="D8" s="147"/>
      <c r="E8" s="147"/>
      <c r="F8" s="147"/>
      <c r="G8" s="148"/>
      <c r="I8" s="1" t="s">
        <v>96</v>
      </c>
      <c r="J8" s="12">
        <v>10.9</v>
      </c>
      <c r="K8" s="12">
        <f>B10*C10/1000000*J8+E10/1000</f>
        <v>2.7749999999999999</v>
      </c>
      <c r="L8" s="13" t="s">
        <v>4</v>
      </c>
    </row>
    <row r="9" spans="1:12" ht="19.899999999999999" customHeight="1">
      <c r="A9" s="145"/>
      <c r="B9" s="53" t="s">
        <v>223</v>
      </c>
      <c r="C9" s="53" t="s">
        <v>222</v>
      </c>
      <c r="D9" s="156" t="s">
        <v>0</v>
      </c>
      <c r="E9" s="68" t="s">
        <v>142</v>
      </c>
      <c r="F9" s="158"/>
      <c r="G9" s="159"/>
      <c r="I9" s="1" t="s">
        <v>97</v>
      </c>
      <c r="J9" s="12">
        <v>12.2</v>
      </c>
      <c r="K9" s="12">
        <f>B10*C10/1000000*J9+E10/1000</f>
        <v>3.0999999999999996</v>
      </c>
      <c r="L9" s="12">
        <f>IF(L1=2,K9,L10)</f>
        <v>3.0999999999999996</v>
      </c>
    </row>
    <row r="10" spans="1:12" ht="30" customHeight="1" thickBot="1">
      <c r="A10" s="146"/>
      <c r="B10" s="69">
        <v>500</v>
      </c>
      <c r="C10" s="69">
        <v>500</v>
      </c>
      <c r="D10" s="157"/>
      <c r="E10" s="69">
        <v>50</v>
      </c>
      <c r="F10" s="160"/>
      <c r="G10" s="161"/>
      <c r="I10" s="1" t="s">
        <v>98</v>
      </c>
      <c r="J10" s="12">
        <v>12.1</v>
      </c>
      <c r="K10" s="12">
        <f>B10*C10/1000000*J10+E10/1000</f>
        <v>3.0749999999999997</v>
      </c>
      <c r="L10" s="12">
        <f>IF(L1=3,K10,L11)</f>
        <v>0</v>
      </c>
    </row>
    <row r="11" spans="1:12" ht="40.15" customHeight="1">
      <c r="A11" s="144">
        <v>2</v>
      </c>
      <c r="B11" s="147" t="s">
        <v>221</v>
      </c>
      <c r="C11" s="147"/>
      <c r="D11" s="147"/>
      <c r="E11" s="147"/>
      <c r="F11" s="147"/>
      <c r="G11" s="148"/>
      <c r="I11" s="1" t="s">
        <v>99</v>
      </c>
      <c r="J11" s="12">
        <v>14.5</v>
      </c>
      <c r="K11" s="12">
        <f>B10*C10/1000000*J11+E10/1000</f>
        <v>3.6749999999999998</v>
      </c>
      <c r="L11" s="12">
        <f>IF(L1=4,K11,L12)</f>
        <v>0</v>
      </c>
    </row>
    <row r="12" spans="1:12" ht="19.899999999999999" customHeight="1">
      <c r="A12" s="145"/>
      <c r="B12" s="149"/>
      <c r="C12" s="53" t="s">
        <v>103</v>
      </c>
      <c r="D12" s="151" t="s">
        <v>111</v>
      </c>
      <c r="E12" s="151"/>
      <c r="F12" s="151"/>
      <c r="G12" s="152"/>
      <c r="I12" s="1" t="s">
        <v>114</v>
      </c>
      <c r="J12" s="12">
        <v>16.5</v>
      </c>
      <c r="K12" s="12">
        <f>B10*C10/1000000*J12+E10/1000</f>
        <v>4.1749999999999998</v>
      </c>
      <c r="L12" s="12">
        <f>IF(L1=5,K12,L13)</f>
        <v>0</v>
      </c>
    </row>
    <row r="13" spans="1:12" ht="19.899999999999999" customHeight="1" thickBot="1">
      <c r="A13" s="146"/>
      <c r="B13" s="150"/>
      <c r="C13" s="54">
        <f>IF(L1=1,K8,L9)</f>
        <v>3.0999999999999996</v>
      </c>
      <c r="D13" s="155">
        <f>B10</f>
        <v>500</v>
      </c>
      <c r="E13" s="155"/>
      <c r="F13" s="153"/>
      <c r="G13" s="154"/>
      <c r="I13" s="1" t="s">
        <v>100</v>
      </c>
      <c r="J13" s="12">
        <v>11</v>
      </c>
      <c r="K13" s="12">
        <f>B10*C10/1000000*J13+E10/1000</f>
        <v>2.8</v>
      </c>
      <c r="L13" s="12">
        <f>IF(L1=6,K13,L14)</f>
        <v>0</v>
      </c>
    </row>
    <row r="14" spans="1:12" ht="60" customHeight="1">
      <c r="A14" s="77">
        <v>3</v>
      </c>
      <c r="B14" s="142" t="s">
        <v>220</v>
      </c>
      <c r="C14" s="142"/>
      <c r="D14" s="142"/>
      <c r="E14" s="142"/>
      <c r="F14" s="142"/>
      <c r="G14" s="143"/>
      <c r="H14" s="55"/>
      <c r="I14" s="1" t="s">
        <v>101</v>
      </c>
      <c r="J14" s="12">
        <v>12</v>
      </c>
      <c r="K14" s="12">
        <f>B10*C10/1000000*J14+E10/1000</f>
        <v>3.05</v>
      </c>
      <c r="L14" s="12">
        <f>IF(L1=7,K14,L15)</f>
        <v>0</v>
      </c>
    </row>
    <row r="15" spans="1:12" ht="33" customHeight="1">
      <c r="A15" s="78"/>
      <c r="B15" s="56" t="s">
        <v>219</v>
      </c>
      <c r="C15" s="53" t="s">
        <v>103</v>
      </c>
      <c r="D15" s="151" t="s">
        <v>111</v>
      </c>
      <c r="E15" s="151"/>
      <c r="F15" s="57" t="s">
        <v>218</v>
      </c>
      <c r="G15" s="58" t="s">
        <v>217</v>
      </c>
      <c r="H15" s="59"/>
      <c r="I15" s="1" t="s">
        <v>115</v>
      </c>
      <c r="J15" s="12">
        <v>15</v>
      </c>
      <c r="K15" s="12">
        <f>B10*C10/1000000*J15+E10/1000</f>
        <v>3.8</v>
      </c>
      <c r="L15" s="12">
        <f>IF(L1=8,K15,L16)</f>
        <v>0</v>
      </c>
    </row>
    <row r="16" spans="1:12" ht="15" customHeight="1">
      <c r="A16" s="78"/>
      <c r="B16" s="60" t="s">
        <v>147</v>
      </c>
      <c r="C16" s="14" t="s">
        <v>120</v>
      </c>
      <c r="D16" s="86" t="s">
        <v>121</v>
      </c>
      <c r="E16" s="86"/>
      <c r="F16" s="61" t="str">
        <f t="shared" ref="F16:F31" si="0">I18</f>
        <v/>
      </c>
      <c r="G16" s="62" t="str">
        <f t="shared" ref="G16:G31" si="1">J18</f>
        <v/>
      </c>
      <c r="H16" s="47"/>
      <c r="I16" s="1" t="s">
        <v>102</v>
      </c>
      <c r="J16" s="12">
        <v>11.2</v>
      </c>
      <c r="K16" s="12">
        <f>B10*C10/1000000*J16+E10/1000</f>
        <v>2.8499999999999996</v>
      </c>
      <c r="L16" s="12">
        <f>IF(L1=9,K16,L18)</f>
        <v>0</v>
      </c>
    </row>
    <row r="17" spans="1:12" ht="15" customHeight="1">
      <c r="A17" s="78"/>
      <c r="B17" s="60" t="s">
        <v>147</v>
      </c>
      <c r="C17" s="14" t="s">
        <v>122</v>
      </c>
      <c r="D17" s="86" t="s">
        <v>123</v>
      </c>
      <c r="E17" s="86"/>
      <c r="F17" s="61" t="str">
        <f t="shared" si="0"/>
        <v/>
      </c>
      <c r="G17" s="62" t="str">
        <f t="shared" si="1"/>
        <v/>
      </c>
      <c r="H17" s="47"/>
      <c r="J17" s="63"/>
      <c r="K17" s="63"/>
      <c r="L17" s="63"/>
    </row>
    <row r="18" spans="1:12" ht="15" customHeight="1">
      <c r="A18" s="78"/>
      <c r="B18" s="60" t="s">
        <v>148</v>
      </c>
      <c r="C18" s="14" t="s">
        <v>124</v>
      </c>
      <c r="D18" s="86" t="s">
        <v>121</v>
      </c>
      <c r="E18" s="86"/>
      <c r="F18" s="61" t="str">
        <f t="shared" si="0"/>
        <v/>
      </c>
      <c r="G18" s="62" t="str">
        <f t="shared" si="1"/>
        <v/>
      </c>
      <c r="H18" s="47"/>
      <c r="I18" s="47" t="str">
        <f>IF(C13&lt;1.3,"the door is too light",IF(($C$13&gt;1.3)*($C$13&lt;4.2)*($D$13&gt;=300)*($D$13&lt;=349),"SK00AD02A",""))</f>
        <v/>
      </c>
      <c r="J18" s="48" t="str">
        <f>IF(C13&lt;1.3," the door is too light",IF(($C$13&gt;1.3)*($C$13&lt;4.2)*($D$13&gt;=300)*($D$13&lt;=349),"SK00AD02B",""))</f>
        <v/>
      </c>
    </row>
    <row r="19" spans="1:12" ht="15" customHeight="1">
      <c r="A19" s="78"/>
      <c r="B19" s="60" t="s">
        <v>148</v>
      </c>
      <c r="C19" s="14" t="s">
        <v>125</v>
      </c>
      <c r="D19" s="86" t="s">
        <v>123</v>
      </c>
      <c r="E19" s="86"/>
      <c r="F19" s="61" t="str">
        <f t="shared" si="0"/>
        <v/>
      </c>
      <c r="G19" s="62" t="str">
        <f t="shared" si="1"/>
        <v/>
      </c>
      <c r="H19" s="47"/>
      <c r="I19" s="47" t="str">
        <f>IF(($C$13&gt;1.5)*($C$13&lt;2.5)*($D$13&gt;=350)*($D$13&lt;=399),"SK00AD02A","")</f>
        <v/>
      </c>
      <c r="J19" s="48" t="str">
        <f>IF(($C$13&gt;1.5)*($C$13&lt;2.5)*($D$13&gt;=350)*($D$13&lt;=399),"SK00AD02B","")</f>
        <v/>
      </c>
    </row>
    <row r="20" spans="1:12" ht="15" customHeight="1">
      <c r="A20" s="78"/>
      <c r="B20" s="60" t="s">
        <v>148</v>
      </c>
      <c r="C20" s="14" t="s">
        <v>126</v>
      </c>
      <c r="D20" s="86" t="s">
        <v>127</v>
      </c>
      <c r="E20" s="86"/>
      <c r="F20" s="61" t="str">
        <f t="shared" si="0"/>
        <v>SK00AL02A</v>
      </c>
      <c r="G20" s="62" t="str">
        <f t="shared" si="1"/>
        <v>SK00AL02B</v>
      </c>
      <c r="H20" s="47"/>
      <c r="I20" s="47" t="str">
        <f>IF(($C$13&gt;3.5)*($C$13&lt;7.2)*($D$13&gt;=300)*($D$13&lt;=349),"SK00AL02A","")</f>
        <v/>
      </c>
      <c r="J20" s="48" t="str">
        <f>IF(($C$13&gt;3.5)*($C$13&lt;7.2)*($D$13&gt;=300)*($D$13&lt;=349),"SK00AL02B","")</f>
        <v/>
      </c>
    </row>
    <row r="21" spans="1:12" ht="15" customHeight="1">
      <c r="A21" s="78"/>
      <c r="B21" s="60" t="s">
        <v>149</v>
      </c>
      <c r="C21" s="14" t="s">
        <v>128</v>
      </c>
      <c r="D21" s="86" t="s">
        <v>121</v>
      </c>
      <c r="E21" s="86"/>
      <c r="F21" s="61" t="str">
        <f t="shared" si="0"/>
        <v/>
      </c>
      <c r="G21" s="62" t="str">
        <f t="shared" si="1"/>
        <v/>
      </c>
      <c r="H21" s="47"/>
      <c r="I21" s="47" t="str">
        <f>IF(($C$13&gt;2.5)*($C$13&lt;5)*($D$13&gt;=350)*($D$13&lt;=399),"SK00AL02A","")</f>
        <v/>
      </c>
      <c r="J21" s="48" t="str">
        <f>IF(($C$13&gt;2.5)*($C$13&lt;5)*($D$13&gt;=350)*($D$13&lt;=399),"SK00AL02B","")</f>
        <v/>
      </c>
    </row>
    <row r="22" spans="1:12" ht="15" customHeight="1">
      <c r="A22" s="78"/>
      <c r="B22" s="60" t="s">
        <v>149</v>
      </c>
      <c r="C22" s="14" t="s">
        <v>129</v>
      </c>
      <c r="D22" s="86" t="s">
        <v>123</v>
      </c>
      <c r="E22" s="86"/>
      <c r="F22" s="61" t="str">
        <f t="shared" si="0"/>
        <v/>
      </c>
      <c r="G22" s="62" t="str">
        <f t="shared" si="1"/>
        <v/>
      </c>
      <c r="H22" s="47"/>
      <c r="I22" s="47" t="str">
        <f>IF(($C$13&gt;2)*($C$13&lt;3.5)*($D$13&gt;=400)*($D$13&lt;=550),"SK00AL02A","")</f>
        <v>SK00AL02A</v>
      </c>
      <c r="J22" s="48" t="str">
        <f>IF(($C$13&gt;2)*($C$13&lt;3.5)*($D$13&gt;=400)*($D$13&lt;=550),"SK00AL02B","")</f>
        <v>SK00AL02B</v>
      </c>
    </row>
    <row r="23" spans="1:12" ht="15" customHeight="1">
      <c r="A23" s="78"/>
      <c r="B23" s="60" t="s">
        <v>149</v>
      </c>
      <c r="C23" s="14" t="s">
        <v>130</v>
      </c>
      <c r="D23" s="86" t="s">
        <v>127</v>
      </c>
      <c r="E23" s="86"/>
      <c r="F23" s="61" t="str">
        <f t="shared" si="0"/>
        <v>SK00AM02A</v>
      </c>
      <c r="G23" s="62" t="str">
        <f t="shared" si="1"/>
        <v>SK00AM02B</v>
      </c>
      <c r="H23" s="47"/>
      <c r="I23" s="47" t="str">
        <f>IF(($C$13&gt;6.5)*($C$13&lt;12)*($D$13&gt;=300)*($D$13&lt;=349),"SK00AM02A","")</f>
        <v/>
      </c>
      <c r="J23" s="48" t="str">
        <f>IF(($C$13&gt;6.5)*($C$13&lt;12)*($D$13&gt;=300)*($D$13&lt;=349),"SK00AM02B","")</f>
        <v/>
      </c>
    </row>
    <row r="24" spans="1:12" ht="15" customHeight="1">
      <c r="A24" s="78"/>
      <c r="B24" s="60" t="s">
        <v>149</v>
      </c>
      <c r="C24" s="14" t="s">
        <v>131</v>
      </c>
      <c r="D24" s="86" t="s">
        <v>132</v>
      </c>
      <c r="E24" s="86"/>
      <c r="F24" s="61" t="str">
        <f t="shared" si="0"/>
        <v>SK00AM02A</v>
      </c>
      <c r="G24" s="62" t="str">
        <f t="shared" si="1"/>
        <v>SK00AM02B</v>
      </c>
      <c r="H24" s="47"/>
      <c r="I24" s="47" t="str">
        <f>IF(($C$13&gt;4.5)*($C$13&lt;9)*($D$13&gt;=350)*($D$13&lt;=399),"SK00AM02A","")</f>
        <v/>
      </c>
      <c r="J24" s="48" t="str">
        <f>IF(($C$13&gt;4.5)*($C$13&lt;9)*($D$13&gt;=350)*($D$13&lt;=399),"SK00AM02B","")</f>
        <v/>
      </c>
    </row>
    <row r="25" spans="1:12" ht="15" customHeight="1">
      <c r="A25" s="78"/>
      <c r="B25" s="60" t="s">
        <v>150</v>
      </c>
      <c r="C25" s="14" t="s">
        <v>133</v>
      </c>
      <c r="D25" s="86" t="s">
        <v>121</v>
      </c>
      <c r="E25" s="86"/>
      <c r="F25" s="61" t="str">
        <f t="shared" si="0"/>
        <v/>
      </c>
      <c r="G25" s="62" t="str">
        <f t="shared" si="1"/>
        <v/>
      </c>
      <c r="H25" s="47"/>
      <c r="I25" s="47" t="str">
        <f>IF(($C$13&gt;2.8)*($C$13&lt;6.5)*($D$13&gt;=400)*($D$13&lt;=550),"SK00AM02A","")</f>
        <v>SK00AM02A</v>
      </c>
      <c r="J25" s="48" t="str">
        <f>IF(($C$13&gt;2.8)*($C$13&lt;6.5)*($D$13&gt;=400)*($D$13&lt;=550),"SK00AM02B","")</f>
        <v>SK00AM02B</v>
      </c>
      <c r="K25" s="22"/>
      <c r="L25" s="22"/>
    </row>
    <row r="26" spans="1:12" ht="15" customHeight="1">
      <c r="A26" s="78"/>
      <c r="B26" s="60" t="s">
        <v>150</v>
      </c>
      <c r="C26" s="14" t="s">
        <v>134</v>
      </c>
      <c r="D26" s="86" t="s">
        <v>123</v>
      </c>
      <c r="E26" s="86"/>
      <c r="F26" s="61" t="str">
        <f t="shared" si="0"/>
        <v/>
      </c>
      <c r="G26" s="62" t="str">
        <f t="shared" si="1"/>
        <v/>
      </c>
      <c r="H26" s="47"/>
      <c r="I26" s="47" t="str">
        <f>IF(($C$13&gt;2)*($C$13&lt;5.2)*($D$13&gt;=450)*($D$13&lt;=580),"SK00AM02A","")</f>
        <v>SK00AM02A</v>
      </c>
      <c r="J26" s="47" t="str">
        <f>IF(($C$13&gt;2)*($C$13&lt;5.2)*($D$13&gt;=450)*($D$13&lt;=580),"SK00AM02B","")</f>
        <v>SK00AM02B</v>
      </c>
      <c r="K26" s="22"/>
      <c r="L26" s="22"/>
    </row>
    <row r="27" spans="1:12" ht="15" customHeight="1">
      <c r="A27" s="78"/>
      <c r="B27" s="60" t="s">
        <v>150</v>
      </c>
      <c r="C27" s="14" t="s">
        <v>135</v>
      </c>
      <c r="D27" s="86" t="s">
        <v>127</v>
      </c>
      <c r="E27" s="86"/>
      <c r="F27" s="61" t="str">
        <f t="shared" si="0"/>
        <v/>
      </c>
      <c r="G27" s="62" t="str">
        <f t="shared" si="1"/>
        <v/>
      </c>
      <c r="H27" s="47"/>
      <c r="I27" s="47" t="str">
        <f>IF(($C$13&gt;11)*($C$13&lt;20)*($D$13&gt;=300)*($D$13&lt;=349),"SK00AH02A","")</f>
        <v/>
      </c>
      <c r="J27" s="48" t="str">
        <f>IF(($C$13&gt;11)*($C$13&lt;20)*($D$13&gt;=300)*($D$13&lt;=349),"SK00AH02B","")</f>
        <v/>
      </c>
      <c r="K27" s="22"/>
      <c r="L27" s="22"/>
    </row>
    <row r="28" spans="1:12" ht="15" customHeight="1">
      <c r="A28" s="78"/>
      <c r="B28" s="60" t="s">
        <v>150</v>
      </c>
      <c r="C28" s="14" t="s">
        <v>136</v>
      </c>
      <c r="D28" s="86" t="s">
        <v>132</v>
      </c>
      <c r="E28" s="86"/>
      <c r="F28" s="61" t="str">
        <f t="shared" si="0"/>
        <v/>
      </c>
      <c r="G28" s="62" t="str">
        <f t="shared" si="1"/>
        <v/>
      </c>
      <c r="H28" s="47"/>
      <c r="I28" s="47" t="str">
        <f>IF(($C$13&gt;8)*($C$13&lt;14.5)*($D$13&gt;=350)*($D$13&lt;=399),"SK00AH02A","")</f>
        <v/>
      </c>
      <c r="J28" s="48" t="str">
        <f>IF(($C$13&gt;8)*($C$13&lt;14.5)*($D$13&gt;=350)*($D$13&lt;=399),"SK00AH02B","")</f>
        <v/>
      </c>
      <c r="K28" s="22"/>
      <c r="L28" s="22"/>
    </row>
    <row r="29" spans="1:12" ht="15" customHeight="1">
      <c r="A29" s="78"/>
      <c r="B29" s="60" t="s">
        <v>151</v>
      </c>
      <c r="C29" s="14" t="s">
        <v>137</v>
      </c>
      <c r="D29" s="86" t="s">
        <v>123</v>
      </c>
      <c r="E29" s="86"/>
      <c r="F29" s="61" t="str">
        <f t="shared" si="0"/>
        <v/>
      </c>
      <c r="G29" s="62" t="str">
        <f t="shared" si="1"/>
        <v/>
      </c>
      <c r="H29" s="47"/>
      <c r="I29" s="47" t="str">
        <f>IF(($C$13&gt;5.8)*($C$13&lt;11.5)*($D$13&gt;=400)*($D$13&lt;=550),"SK00AH02A","")</f>
        <v/>
      </c>
      <c r="J29" s="47" t="str">
        <f>IF(($C$13&gt;5.8)*($C$13&lt;11.5)*($D$13&gt;=400)*($D$13&lt;=550),"SK00AH02B","")</f>
        <v/>
      </c>
      <c r="K29" s="22"/>
      <c r="L29" s="22"/>
    </row>
    <row r="30" spans="1:12" ht="15" customHeight="1">
      <c r="A30" s="78"/>
      <c r="B30" s="60" t="s">
        <v>151</v>
      </c>
      <c r="C30" s="14" t="s">
        <v>138</v>
      </c>
      <c r="D30" s="86" t="s">
        <v>127</v>
      </c>
      <c r="E30" s="86"/>
      <c r="F30" s="61" t="str">
        <f t="shared" si="0"/>
        <v/>
      </c>
      <c r="G30" s="62" t="str">
        <f t="shared" si="1"/>
        <v/>
      </c>
      <c r="H30" s="47"/>
      <c r="I30" s="47" t="str">
        <f>IF(($C$13&gt;4.2)*($C$13&lt;9.2)*($D$13&gt;=450)*($D$13&lt;=580),"SK00AH02A","")</f>
        <v/>
      </c>
      <c r="J30" s="47" t="str">
        <f>IF(($C$13&gt;4.2)*($C$13&lt;9.2)*($D$13&gt;=450)*($D$13&lt;=580),"SK00AH02B","")</f>
        <v/>
      </c>
      <c r="K30" s="22"/>
      <c r="L30" s="22"/>
    </row>
    <row r="31" spans="1:12" ht="15" customHeight="1" thickBot="1">
      <c r="A31" s="78"/>
      <c r="B31" s="64" t="s">
        <v>151</v>
      </c>
      <c r="C31" s="65" t="s">
        <v>139</v>
      </c>
      <c r="D31" s="164" t="s">
        <v>132</v>
      </c>
      <c r="E31" s="164"/>
      <c r="F31" s="66" t="str">
        <f t="shared" si="0"/>
        <v/>
      </c>
      <c r="G31" s="67" t="str">
        <f t="shared" si="1"/>
        <v/>
      </c>
      <c r="H31" s="47"/>
      <c r="I31" s="47" t="str">
        <f>IF(($C$13&gt;13.5)*($C$13&lt;20)*($D$13&gt;=350)*($D$13&lt;=399),"SK00AC02A","")</f>
        <v/>
      </c>
      <c r="J31" s="47" t="str">
        <f>IF(($C$13&gt;13.5)*($C$13&lt;20)*($D$13&gt;=350)*($D$13&lt;=399),"SK00AC02B","")</f>
        <v/>
      </c>
      <c r="K31" s="22"/>
      <c r="L31" s="22"/>
    </row>
    <row r="32" spans="1:12" ht="40.15" customHeight="1">
      <c r="A32" s="77">
        <v>4</v>
      </c>
      <c r="B32" s="142" t="s">
        <v>216</v>
      </c>
      <c r="C32" s="142"/>
      <c r="D32" s="142"/>
      <c r="E32" s="142"/>
      <c r="F32" s="142"/>
      <c r="G32" s="143"/>
      <c r="H32" s="48"/>
      <c r="I32" s="47" t="str">
        <f>IF(($C$13&gt;10.5)*($C$13&lt;20)*($D$13&gt;=400)*($D$13&lt;=550),"SK00AC02A","")</f>
        <v/>
      </c>
      <c r="J32" s="48" t="str">
        <f>IF(($C$13&gt;10.5)*($C$13&lt;20)*($D$13&gt;=400)*($D$13&lt;=550),"SK00AC02B","")</f>
        <v/>
      </c>
      <c r="K32" s="22"/>
      <c r="L32" s="22"/>
    </row>
    <row r="33" spans="1:12" ht="19.899999999999999" customHeight="1">
      <c r="A33" s="78"/>
      <c r="B33" s="165" t="s">
        <v>215</v>
      </c>
      <c r="C33" s="166"/>
      <c r="D33" s="151" t="s">
        <v>111</v>
      </c>
      <c r="E33" s="151"/>
      <c r="F33" s="165" t="s">
        <v>214</v>
      </c>
      <c r="G33" s="167"/>
      <c r="H33" s="48"/>
      <c r="I33" s="47" t="str">
        <f>IF(C13&gt;16.5," the door is too heavy",IF(($C$13&gt;8.3)*($C$13&lt;16.5)*($D$13&gt;=450)*($D$13&lt;=580),"SK00AC02A",""))</f>
        <v/>
      </c>
      <c r="J33" s="47" t="str">
        <f>IF(C13&gt;16.5," the door is too heavy",IF(($C$13&gt;8.3)*($C$13&lt;16.5)*($D$13&gt;=450)*($D$13&lt;=580),"SK00AC02B",""))</f>
        <v/>
      </c>
      <c r="K33" s="22"/>
      <c r="L33" s="22"/>
    </row>
    <row r="34" spans="1:12" ht="15" customHeight="1">
      <c r="A34" s="78"/>
      <c r="B34" s="168" t="s">
        <v>213</v>
      </c>
      <c r="C34" s="169"/>
      <c r="D34" s="86" t="s">
        <v>121</v>
      </c>
      <c r="E34" s="86"/>
      <c r="F34" s="178" t="str">
        <f>I35</f>
        <v/>
      </c>
      <c r="G34" s="179"/>
      <c r="H34" s="48"/>
      <c r="I34" s="47"/>
      <c r="J34" s="48"/>
      <c r="K34" s="22"/>
      <c r="L34" s="22"/>
    </row>
    <row r="35" spans="1:12" ht="15" customHeight="1">
      <c r="A35" s="78"/>
      <c r="B35" s="168" t="s">
        <v>144</v>
      </c>
      <c r="C35" s="169"/>
      <c r="D35" s="86" t="s">
        <v>123</v>
      </c>
      <c r="E35" s="86"/>
      <c r="F35" s="178" t="str">
        <f>I36</f>
        <v/>
      </c>
      <c r="G35" s="179"/>
      <c r="H35" s="48"/>
      <c r="I35" s="47" t="str">
        <f>IF(D13&lt;300,"the door is too short",IF(($D$13&gt;=300)*($D$13&lt;=349),"SK300A01",""))</f>
        <v/>
      </c>
      <c r="J35" s="48"/>
      <c r="K35" s="22"/>
      <c r="L35" s="22"/>
    </row>
    <row r="36" spans="1:12" ht="15" customHeight="1">
      <c r="A36" s="78"/>
      <c r="B36" s="168" t="s">
        <v>145</v>
      </c>
      <c r="C36" s="169"/>
      <c r="D36" s="86" t="s">
        <v>127</v>
      </c>
      <c r="E36" s="86"/>
      <c r="F36" s="178" t="str">
        <f>I37</f>
        <v>SK400A01</v>
      </c>
      <c r="G36" s="179"/>
      <c r="H36" s="48"/>
      <c r="I36" s="47" t="str">
        <f>IF(($D$13&gt;=350)*($D$13&lt;=399),"SK350A01","")</f>
        <v/>
      </c>
      <c r="J36" s="48"/>
      <c r="K36" s="22"/>
      <c r="L36" s="22"/>
    </row>
    <row r="37" spans="1:12" ht="15" customHeight="1" thickBot="1">
      <c r="A37" s="79"/>
      <c r="B37" s="170" t="s">
        <v>146</v>
      </c>
      <c r="C37" s="171"/>
      <c r="D37" s="120" t="s">
        <v>132</v>
      </c>
      <c r="E37" s="120"/>
      <c r="F37" s="180" t="str">
        <f>I38</f>
        <v/>
      </c>
      <c r="G37" s="181"/>
      <c r="H37" s="48"/>
      <c r="I37" s="47" t="str">
        <f>IF(($D$13&gt;=400)*($D$13&lt;=550),"SK400A01","")</f>
        <v>SK400A01</v>
      </c>
      <c r="J37" s="48"/>
      <c r="K37" s="22"/>
    </row>
    <row r="38" spans="1:12" ht="15" customHeight="1">
      <c r="A38" s="172" t="s">
        <v>105</v>
      </c>
      <c r="B38" s="173"/>
      <c r="C38" s="173"/>
      <c r="D38" s="173"/>
      <c r="E38" s="173"/>
      <c r="F38" s="173"/>
      <c r="G38" s="174"/>
      <c r="I38" s="47" t="str">
        <f>IF(D13&gt;580,"the door is too high",IF(($D$13&gt;550)*($D$13&lt;=580),"SK450A01",""))</f>
        <v/>
      </c>
      <c r="J38" s="48"/>
    </row>
    <row r="39" spans="1:12" ht="15" customHeight="1" thickBot="1">
      <c r="A39" s="175"/>
      <c r="B39" s="176"/>
      <c r="C39" s="176"/>
      <c r="D39" s="176"/>
      <c r="E39" s="176"/>
      <c r="F39" s="176"/>
      <c r="G39" s="177"/>
      <c r="J39" s="22"/>
    </row>
    <row r="40" spans="1:12" ht="38.25" customHeight="1">
      <c r="B40" s="162" t="s">
        <v>212</v>
      </c>
      <c r="C40" s="163"/>
      <c r="D40" s="163"/>
      <c r="E40" s="163"/>
      <c r="F40" s="163"/>
      <c r="G40" s="163"/>
      <c r="J40" s="22"/>
    </row>
    <row r="41" spans="1:12">
      <c r="J41" s="22"/>
    </row>
  </sheetData>
  <mergeCells count="50">
    <mergeCell ref="D23:E23"/>
    <mergeCell ref="D24:E24"/>
    <mergeCell ref="D31:E31"/>
    <mergeCell ref="A32:A37"/>
    <mergeCell ref="B32:G32"/>
    <mergeCell ref="B33:C33"/>
    <mergeCell ref="D33:E33"/>
    <mergeCell ref="F33:G33"/>
    <mergeCell ref="B34:C34"/>
    <mergeCell ref="D34:E34"/>
    <mergeCell ref="B37:C37"/>
    <mergeCell ref="D37:E37"/>
    <mergeCell ref="F34:G34"/>
    <mergeCell ref="B35:C35"/>
    <mergeCell ref="D35:E35"/>
    <mergeCell ref="F35:G35"/>
    <mergeCell ref="B40:G40"/>
    <mergeCell ref="D28:E28"/>
    <mergeCell ref="D25:E25"/>
    <mergeCell ref="D26:E26"/>
    <mergeCell ref="D27:E27"/>
    <mergeCell ref="D29:E29"/>
    <mergeCell ref="D30:E30"/>
    <mergeCell ref="A38:G39"/>
    <mergeCell ref="B36:C36"/>
    <mergeCell ref="D36:E36"/>
    <mergeCell ref="F36:G36"/>
    <mergeCell ref="F37:G37"/>
    <mergeCell ref="A1:G7"/>
    <mergeCell ref="J1:K1"/>
    <mergeCell ref="A8:A10"/>
    <mergeCell ref="B8:G8"/>
    <mergeCell ref="D9:D10"/>
    <mergeCell ref="F9:G10"/>
    <mergeCell ref="A14:A31"/>
    <mergeCell ref="B14:G14"/>
    <mergeCell ref="A11:A13"/>
    <mergeCell ref="B11:G11"/>
    <mergeCell ref="B12:B13"/>
    <mergeCell ref="D12:E12"/>
    <mergeCell ref="F12:G13"/>
    <mergeCell ref="D13:E13"/>
    <mergeCell ref="D15:E15"/>
    <mergeCell ref="D16:E16"/>
    <mergeCell ref="D17:E17"/>
    <mergeCell ref="D18:E18"/>
    <mergeCell ref="D19:E19"/>
    <mergeCell ref="D20:E20"/>
    <mergeCell ref="D21:E21"/>
    <mergeCell ref="D22:E22"/>
  </mergeCells>
  <hyperlinks>
    <hyperlink ref="A38" r:id="rId1" xr:uid="{2C48664C-032D-40E1-95E4-6EB0E8CCEEE1}"/>
  </hyperlinks>
  <pageMargins left="0.7" right="0.7" top="0.75" bottom="0.75" header="0.3" footer="0.3"/>
  <pageSetup paperSize="9" orientation="portrait" r:id="rId2"/>
  <drawing r:id="rId3"/>
  <legacyDrawing r:id="rId4"/>
  <oleObjects>
    <mc:AlternateContent xmlns:mc="http://schemas.openxmlformats.org/markup-compatibility/2006">
      <mc:Choice Requires="x14">
        <oleObject progId="CorelDraw.Graphic.18" shapeId="13313" r:id="rId5">
          <objectPr defaultSize="0" autoPict="0" r:id="rId6">
            <anchor moveWithCells="1">
              <from>
                <xdr:col>0</xdr:col>
                <xdr:colOff>133350</xdr:colOff>
                <xdr:row>0</xdr:row>
                <xdr:rowOff>95250</xdr:rowOff>
              </from>
              <to>
                <xdr:col>1</xdr:col>
                <xdr:colOff>1247775</xdr:colOff>
                <xdr:row>2</xdr:row>
                <xdr:rowOff>228600</xdr:rowOff>
              </to>
            </anchor>
          </objectPr>
        </oleObject>
      </mc:Choice>
      <mc:Fallback>
        <oleObject progId="CorelDraw.Graphic.18" shapeId="13313" r:id="rId5"/>
      </mc:Fallback>
    </mc:AlternateContent>
  </oleObjects>
  <mc:AlternateContent xmlns:mc="http://schemas.openxmlformats.org/markup-compatibility/2006">
    <mc:Choice Requires="x14">
      <controls>
        <mc:AlternateContent xmlns:mc="http://schemas.openxmlformats.org/markup-compatibility/2006">
          <mc:Choice Requires="x14">
            <control shapeId="13314" r:id="rId7" name="Drop Down 2">
              <controlPr defaultSize="0" autoLine="0" autoPict="0">
                <anchor>
                  <from>
                    <xdr:col>1</xdr:col>
                    <xdr:colOff>209550</xdr:colOff>
                    <xdr:row>11</xdr:row>
                    <xdr:rowOff>95250</xdr:rowOff>
                  </from>
                  <to>
                    <xdr:col>1</xdr:col>
                    <xdr:colOff>2390775</xdr:colOff>
                    <xdr:row>12</xdr:row>
                    <xdr:rowOff>152400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3606FA-70CC-4DB5-A90A-86035DCB6D3E}">
  <dimension ref="A1:L40"/>
  <sheetViews>
    <sheetView tabSelected="1" topLeftCell="A14" workbookViewId="0">
      <selection activeCell="H41" sqref="H41"/>
    </sheetView>
  </sheetViews>
  <sheetFormatPr defaultColWidth="9.140625" defaultRowHeight="15"/>
  <cols>
    <col min="1" max="1" width="4.7109375" customWidth="1"/>
    <col min="2" max="2" width="37.7109375" customWidth="1"/>
    <col min="3" max="3" width="25.7109375" customWidth="1"/>
    <col min="4" max="4" width="7.7109375" customWidth="1"/>
    <col min="5" max="5" width="21.28515625" customWidth="1"/>
    <col min="6" max="7" width="25.7109375" customWidth="1"/>
    <col min="8" max="8" width="13.140625" customWidth="1"/>
    <col min="9" max="9" width="18.28515625" hidden="1" customWidth="1"/>
    <col min="10" max="10" width="13.85546875" hidden="1" customWidth="1"/>
    <col min="11" max="11" width="19.140625" hidden="1" customWidth="1"/>
    <col min="12" max="12" width="16.7109375" hidden="1" customWidth="1"/>
    <col min="13" max="14" width="13.7109375" customWidth="1"/>
    <col min="15" max="16" width="8.7109375" customWidth="1"/>
  </cols>
  <sheetData>
    <row r="1" spans="1:12" ht="19.899999999999999" customHeight="1">
      <c r="A1" s="125" t="s">
        <v>119</v>
      </c>
      <c r="B1" s="89"/>
      <c r="C1" s="89"/>
      <c r="D1" s="89"/>
      <c r="E1" s="89"/>
      <c r="F1" s="89"/>
      <c r="G1" s="90"/>
      <c r="J1" s="109" t="s">
        <v>143</v>
      </c>
      <c r="K1" s="109"/>
      <c r="L1" s="13">
        <v>1</v>
      </c>
    </row>
    <row r="2" spans="1:12" ht="19.899999999999999" customHeight="1">
      <c r="A2" s="91"/>
      <c r="B2" s="92"/>
      <c r="C2" s="92"/>
      <c r="D2" s="92"/>
      <c r="E2" s="92"/>
      <c r="F2" s="92"/>
      <c r="G2" s="93"/>
    </row>
    <row r="3" spans="1:12" ht="19.899999999999999" customHeight="1">
      <c r="A3" s="91"/>
      <c r="B3" s="92"/>
      <c r="C3" s="92"/>
      <c r="D3" s="92"/>
      <c r="E3" s="92"/>
      <c r="F3" s="92"/>
      <c r="G3" s="93"/>
    </row>
    <row r="4" spans="1:12" ht="19.899999999999999" customHeight="1">
      <c r="A4" s="91"/>
      <c r="B4" s="92"/>
      <c r="C4" s="92"/>
      <c r="D4" s="92"/>
      <c r="E4" s="92"/>
      <c r="F4" s="92"/>
      <c r="G4" s="93"/>
    </row>
    <row r="5" spans="1:12" ht="19.899999999999999" customHeight="1">
      <c r="A5" s="91"/>
      <c r="B5" s="92"/>
      <c r="C5" s="92"/>
      <c r="D5" s="92"/>
      <c r="E5" s="92"/>
      <c r="F5" s="92"/>
      <c r="G5" s="93"/>
    </row>
    <row r="6" spans="1:12" ht="19.899999999999999" customHeight="1">
      <c r="A6" s="91"/>
      <c r="B6" s="92"/>
      <c r="C6" s="92"/>
      <c r="D6" s="92"/>
      <c r="E6" s="92"/>
      <c r="F6" s="92"/>
      <c r="G6" s="93"/>
    </row>
    <row r="7" spans="1:12" ht="19.899999999999999" customHeight="1" thickBot="1">
      <c r="A7" s="91"/>
      <c r="B7" s="92"/>
      <c r="C7" s="92"/>
      <c r="D7" s="92"/>
      <c r="E7" s="92"/>
      <c r="F7" s="92"/>
      <c r="G7" s="93"/>
      <c r="I7" s="1" t="s">
        <v>95</v>
      </c>
      <c r="J7" s="1" t="s">
        <v>92</v>
      </c>
      <c r="K7" s="1" t="s">
        <v>93</v>
      </c>
      <c r="L7" s="1" t="s">
        <v>94</v>
      </c>
    </row>
    <row r="8" spans="1:12" ht="30" customHeight="1">
      <c r="A8" s="144">
        <v>1</v>
      </c>
      <c r="B8" s="147" t="s">
        <v>201</v>
      </c>
      <c r="C8" s="147"/>
      <c r="D8" s="147"/>
      <c r="E8" s="147"/>
      <c r="F8" s="147"/>
      <c r="G8" s="148"/>
      <c r="I8" s="1" t="s">
        <v>96</v>
      </c>
      <c r="J8" s="12">
        <v>10.9</v>
      </c>
      <c r="K8" s="12">
        <f>B10*C10/1000000*J8+E10/1000</f>
        <v>2.7749999999999999</v>
      </c>
      <c r="L8" s="13" t="s">
        <v>4</v>
      </c>
    </row>
    <row r="9" spans="1:12" ht="19.899999999999999" customHeight="1">
      <c r="A9" s="145"/>
      <c r="B9" s="53" t="s">
        <v>140</v>
      </c>
      <c r="C9" s="53" t="s">
        <v>141</v>
      </c>
      <c r="D9" s="156" t="s">
        <v>0</v>
      </c>
      <c r="E9" s="68" t="s">
        <v>142</v>
      </c>
      <c r="F9" s="158"/>
      <c r="G9" s="159"/>
      <c r="I9" s="1" t="s">
        <v>97</v>
      </c>
      <c r="J9" s="12">
        <v>12.2</v>
      </c>
      <c r="K9" s="12">
        <f>B10*C10/1000000*J9+E10/1000</f>
        <v>3.0999999999999996</v>
      </c>
      <c r="L9" s="12">
        <f>IF(L1=2,K9,L10)</f>
        <v>0</v>
      </c>
    </row>
    <row r="10" spans="1:12" ht="30" customHeight="1" thickBot="1">
      <c r="A10" s="146"/>
      <c r="B10" s="69">
        <v>500</v>
      </c>
      <c r="C10" s="69">
        <v>500</v>
      </c>
      <c r="D10" s="157"/>
      <c r="E10" s="69">
        <v>50</v>
      </c>
      <c r="F10" s="160"/>
      <c r="G10" s="161"/>
      <c r="I10" s="1" t="s">
        <v>98</v>
      </c>
      <c r="J10" s="12">
        <v>12.1</v>
      </c>
      <c r="K10" s="12">
        <f>B10*C10/1000000*J10+E10/1000</f>
        <v>3.0749999999999997</v>
      </c>
      <c r="L10" s="12">
        <f>IF(L1=3,K10,L11)</f>
        <v>0</v>
      </c>
    </row>
    <row r="11" spans="1:12" ht="40.15" customHeight="1">
      <c r="A11" s="144">
        <v>2</v>
      </c>
      <c r="B11" s="147" t="s">
        <v>188</v>
      </c>
      <c r="C11" s="147"/>
      <c r="D11" s="147"/>
      <c r="E11" s="147"/>
      <c r="F11" s="147"/>
      <c r="G11" s="148"/>
      <c r="I11" s="1" t="s">
        <v>99</v>
      </c>
      <c r="J11" s="12">
        <v>14.5</v>
      </c>
      <c r="K11" s="12">
        <f>B10*C10/1000000*J11+E10/1000</f>
        <v>3.6749999999999998</v>
      </c>
      <c r="L11" s="12">
        <f>IF(L1=4,K11,L12)</f>
        <v>0</v>
      </c>
    </row>
    <row r="12" spans="1:12" ht="19.899999999999999" customHeight="1">
      <c r="A12" s="145"/>
      <c r="B12" s="149"/>
      <c r="C12" s="53" t="s">
        <v>103</v>
      </c>
      <c r="D12" s="151" t="s">
        <v>111</v>
      </c>
      <c r="E12" s="151"/>
      <c r="F12" s="151"/>
      <c r="G12" s="152"/>
      <c r="I12" s="1" t="s">
        <v>114</v>
      </c>
      <c r="J12" s="12">
        <v>16.5</v>
      </c>
      <c r="K12" s="12">
        <f>B10*C10/1000000*J12+E10/1000</f>
        <v>4.1749999999999998</v>
      </c>
      <c r="L12" s="12">
        <f>IF(L1=5,K12,L13)</f>
        <v>0</v>
      </c>
    </row>
    <row r="13" spans="1:12" ht="19.899999999999999" customHeight="1" thickBot="1">
      <c r="A13" s="146"/>
      <c r="B13" s="150"/>
      <c r="C13" s="54">
        <f>IF(L1=1,K8,L9)</f>
        <v>2.7749999999999999</v>
      </c>
      <c r="D13" s="155">
        <f>B10</f>
        <v>500</v>
      </c>
      <c r="E13" s="155"/>
      <c r="F13" s="153"/>
      <c r="G13" s="154"/>
      <c r="I13" s="1" t="s">
        <v>100</v>
      </c>
      <c r="J13" s="12">
        <v>11</v>
      </c>
      <c r="K13" s="12">
        <f>B10*C10/1000000*J13+E10/1000</f>
        <v>2.8</v>
      </c>
      <c r="L13" s="12">
        <f>IF(L1=6,K13,L14)</f>
        <v>0</v>
      </c>
    </row>
    <row r="14" spans="1:12" ht="60" customHeight="1">
      <c r="A14" s="77">
        <v>3</v>
      </c>
      <c r="B14" s="142" t="s">
        <v>202</v>
      </c>
      <c r="C14" s="142"/>
      <c r="D14" s="142"/>
      <c r="E14" s="142"/>
      <c r="F14" s="142"/>
      <c r="G14" s="143"/>
      <c r="H14" s="55"/>
      <c r="I14" s="1" t="s">
        <v>101</v>
      </c>
      <c r="J14" s="12">
        <v>12</v>
      </c>
      <c r="K14" s="12">
        <f>B10*C10/1000000*J14+E10/1000</f>
        <v>3.05</v>
      </c>
      <c r="L14" s="12">
        <f>IF(L1=7,K14,L15)</f>
        <v>0</v>
      </c>
    </row>
    <row r="15" spans="1:12" ht="33" customHeight="1">
      <c r="A15" s="78"/>
      <c r="B15" s="56" t="s">
        <v>163</v>
      </c>
      <c r="C15" s="53" t="s">
        <v>203</v>
      </c>
      <c r="D15" s="151" t="s">
        <v>204</v>
      </c>
      <c r="E15" s="151"/>
      <c r="F15" s="57" t="s">
        <v>205</v>
      </c>
      <c r="G15" s="58" t="s">
        <v>206</v>
      </c>
      <c r="H15" s="59"/>
      <c r="I15" s="1" t="s">
        <v>115</v>
      </c>
      <c r="J15" s="12">
        <v>15</v>
      </c>
      <c r="K15" s="12">
        <f>B10*C10/1000000*J15+E10/1000</f>
        <v>3.8</v>
      </c>
      <c r="L15" s="12">
        <f>IF(L1=8,K15,L16)</f>
        <v>0</v>
      </c>
    </row>
    <row r="16" spans="1:12" ht="15" customHeight="1">
      <c r="A16" s="78"/>
      <c r="B16" s="60" t="s">
        <v>147</v>
      </c>
      <c r="C16" s="14" t="s">
        <v>120</v>
      </c>
      <c r="D16" s="86" t="s">
        <v>121</v>
      </c>
      <c r="E16" s="86"/>
      <c r="F16" s="61" t="str">
        <f t="shared" ref="F16:G31" si="0">I18</f>
        <v/>
      </c>
      <c r="G16" s="62" t="str">
        <f t="shared" si="0"/>
        <v/>
      </c>
      <c r="H16" s="47"/>
      <c r="I16" s="1" t="s">
        <v>102</v>
      </c>
      <c r="J16" s="12">
        <v>11.2</v>
      </c>
      <c r="K16" s="12">
        <f>B10*C10/1000000*J16+E10/1000</f>
        <v>2.8499999999999996</v>
      </c>
      <c r="L16" s="12">
        <f>IF(L1=9,K16,L18)</f>
        <v>0</v>
      </c>
    </row>
    <row r="17" spans="1:12" ht="15" customHeight="1">
      <c r="A17" s="78"/>
      <c r="B17" s="60" t="s">
        <v>147</v>
      </c>
      <c r="C17" s="14" t="s">
        <v>122</v>
      </c>
      <c r="D17" s="86" t="s">
        <v>123</v>
      </c>
      <c r="E17" s="86"/>
      <c r="F17" s="61" t="str">
        <f t="shared" si="0"/>
        <v/>
      </c>
      <c r="G17" s="62" t="str">
        <f t="shared" si="0"/>
        <v/>
      </c>
      <c r="H17" s="47"/>
      <c r="J17" s="63"/>
      <c r="K17" s="63"/>
      <c r="L17" s="63"/>
    </row>
    <row r="18" spans="1:12" ht="15" customHeight="1">
      <c r="A18" s="78"/>
      <c r="B18" s="60" t="s">
        <v>148</v>
      </c>
      <c r="C18" s="14" t="s">
        <v>124</v>
      </c>
      <c r="D18" s="86" t="s">
        <v>121</v>
      </c>
      <c r="E18" s="86"/>
      <c r="F18" s="61" t="str">
        <f t="shared" si="0"/>
        <v/>
      </c>
      <c r="G18" s="62" t="str">
        <f t="shared" si="0"/>
        <v/>
      </c>
      <c r="H18" s="47"/>
      <c r="I18" s="47" t="str">
        <f>IF(C13&lt;1.3,"the door is too light",IF(($C$13&gt;1.3)*($C$13&lt;4.2)*($D$13&gt;=300)*($D$13&lt;=349),"SK00AD02A",""))</f>
        <v/>
      </c>
      <c r="J18" s="48" t="str">
        <f>IF(C13&lt;1.3," the door is too light",IF(($C$13&gt;1.3)*($C$13&lt;4.2)*($D$13&gt;=300)*($D$13&lt;=349),"SK00AD02B",""))</f>
        <v/>
      </c>
    </row>
    <row r="19" spans="1:12" ht="15" customHeight="1">
      <c r="A19" s="78"/>
      <c r="B19" s="60" t="s">
        <v>148</v>
      </c>
      <c r="C19" s="14" t="s">
        <v>125</v>
      </c>
      <c r="D19" s="86" t="s">
        <v>123</v>
      </c>
      <c r="E19" s="86"/>
      <c r="F19" s="61" t="str">
        <f t="shared" si="0"/>
        <v/>
      </c>
      <c r="G19" s="62" t="str">
        <f t="shared" si="0"/>
        <v/>
      </c>
      <c r="H19" s="47"/>
      <c r="I19" s="47" t="str">
        <f>IF(($C$13&gt;1.5)*($C$13&lt;2.5)*($D$13&gt;=350)*($D$13&lt;=399),"SK00AD02A","")</f>
        <v/>
      </c>
      <c r="J19" s="48" t="str">
        <f>IF(($C$13&gt;1.5)*($C$13&lt;2.5)*($D$13&gt;=350)*($D$13&lt;=399),"SK00AD02B","")</f>
        <v/>
      </c>
    </row>
    <row r="20" spans="1:12" ht="15" customHeight="1">
      <c r="A20" s="78"/>
      <c r="B20" s="60" t="s">
        <v>148</v>
      </c>
      <c r="C20" s="14" t="s">
        <v>126</v>
      </c>
      <c r="D20" s="86" t="s">
        <v>127</v>
      </c>
      <c r="E20" s="86"/>
      <c r="F20" s="61" t="str">
        <f t="shared" si="0"/>
        <v>SK00AL02A</v>
      </c>
      <c r="G20" s="62" t="str">
        <f t="shared" si="0"/>
        <v>SK00AL02B</v>
      </c>
      <c r="H20" s="47"/>
      <c r="I20" s="47" t="str">
        <f>IF(($C$13&gt;3.5)*($C$13&lt;7.2)*($D$13&gt;=300)*($D$13&lt;=349),"SK00AL02A","")</f>
        <v/>
      </c>
      <c r="J20" s="48" t="str">
        <f>IF(($C$13&gt;3.5)*($C$13&lt;7.2)*($D$13&gt;=300)*($D$13&lt;=349),"SK00AL02B","")</f>
        <v/>
      </c>
    </row>
    <row r="21" spans="1:12" ht="15" customHeight="1">
      <c r="A21" s="78"/>
      <c r="B21" s="60" t="s">
        <v>149</v>
      </c>
      <c r="C21" s="14" t="s">
        <v>128</v>
      </c>
      <c r="D21" s="86" t="s">
        <v>121</v>
      </c>
      <c r="E21" s="86"/>
      <c r="F21" s="61" t="str">
        <f t="shared" si="0"/>
        <v/>
      </c>
      <c r="G21" s="62" t="str">
        <f t="shared" si="0"/>
        <v/>
      </c>
      <c r="H21" s="47"/>
      <c r="I21" s="47" t="str">
        <f>IF(($C$13&gt;2.5)*($C$13&lt;5)*($D$13&gt;=350)*($D$13&lt;=399),"SK00AL02A","")</f>
        <v/>
      </c>
      <c r="J21" s="48" t="str">
        <f>IF(($C$13&gt;2.5)*($C$13&lt;5)*($D$13&gt;=350)*($D$13&lt;=399),"SK00AL02B","")</f>
        <v/>
      </c>
    </row>
    <row r="22" spans="1:12" ht="15" customHeight="1">
      <c r="A22" s="78"/>
      <c r="B22" s="60" t="s">
        <v>149</v>
      </c>
      <c r="C22" s="14" t="s">
        <v>129</v>
      </c>
      <c r="D22" s="86" t="s">
        <v>123</v>
      </c>
      <c r="E22" s="86"/>
      <c r="F22" s="61" t="str">
        <f t="shared" si="0"/>
        <v/>
      </c>
      <c r="G22" s="62" t="str">
        <f t="shared" si="0"/>
        <v/>
      </c>
      <c r="H22" s="47"/>
      <c r="I22" s="47" t="str">
        <f>IF(($C$13&gt;2)*($C$13&lt;3.5)*($D$13&gt;=400)*($D$13&lt;=550),"SK00AL02A","")</f>
        <v>SK00AL02A</v>
      </c>
      <c r="J22" s="48" t="str">
        <f>IF(($C$13&gt;2)*($C$13&lt;3.5)*($D$13&gt;=400)*($D$13&lt;=550),"SK00AL02B","")</f>
        <v>SK00AL02B</v>
      </c>
    </row>
    <row r="23" spans="1:12" ht="15" customHeight="1">
      <c r="A23" s="78"/>
      <c r="B23" s="60" t="s">
        <v>149</v>
      </c>
      <c r="C23" s="14" t="s">
        <v>130</v>
      </c>
      <c r="D23" s="86" t="s">
        <v>127</v>
      </c>
      <c r="E23" s="86"/>
      <c r="F23" s="61" t="str">
        <f t="shared" si="0"/>
        <v/>
      </c>
      <c r="G23" s="62" t="str">
        <f t="shared" si="0"/>
        <v/>
      </c>
      <c r="H23" s="47"/>
      <c r="I23" s="47" t="str">
        <f>IF(($C$13&gt;6.5)*($C$13&lt;12)*($D$13&gt;=300)*($D$13&lt;=349),"SK00AM02A","")</f>
        <v/>
      </c>
      <c r="J23" s="48" t="str">
        <f>IF(($C$13&gt;6.5)*($C$13&lt;12)*($D$13&gt;=300)*($D$13&lt;=349),"SK00AM02B","")</f>
        <v/>
      </c>
    </row>
    <row r="24" spans="1:12" ht="15" customHeight="1">
      <c r="A24" s="78"/>
      <c r="B24" s="60" t="s">
        <v>149</v>
      </c>
      <c r="C24" s="14" t="s">
        <v>131</v>
      </c>
      <c r="D24" s="86" t="s">
        <v>132</v>
      </c>
      <c r="E24" s="86"/>
      <c r="F24" s="61" t="str">
        <f t="shared" si="0"/>
        <v>SK00AM02A</v>
      </c>
      <c r="G24" s="62" t="str">
        <f t="shared" si="0"/>
        <v>SK00AM02B</v>
      </c>
      <c r="H24" s="47"/>
      <c r="I24" s="47" t="str">
        <f>IF(($C$13&gt;4.5)*($C$13&lt;9)*($D$13&gt;=350)*($D$13&lt;=399),"SK00AM02A","")</f>
        <v/>
      </c>
      <c r="J24" s="48" t="str">
        <f>IF(($C$13&gt;4.5)*($C$13&lt;9)*($D$13&gt;=350)*($D$13&lt;=399),"SK00AM02B","")</f>
        <v/>
      </c>
    </row>
    <row r="25" spans="1:12" ht="15" customHeight="1">
      <c r="A25" s="78"/>
      <c r="B25" s="60" t="s">
        <v>150</v>
      </c>
      <c r="C25" s="14" t="s">
        <v>133</v>
      </c>
      <c r="D25" s="86" t="s">
        <v>121</v>
      </c>
      <c r="E25" s="86"/>
      <c r="F25" s="61" t="str">
        <f t="shared" si="0"/>
        <v/>
      </c>
      <c r="G25" s="62" t="str">
        <f t="shared" si="0"/>
        <v/>
      </c>
      <c r="H25" s="47"/>
      <c r="I25" s="47" t="str">
        <f>IF(($C$13&gt;2.8)*($C$13&lt;6.5)*($D$13&gt;=400)*($D$13&lt;=550),"SK00AM02A","")</f>
        <v/>
      </c>
      <c r="J25" s="48" t="str">
        <f>IF(($C$13&gt;2.8)*($C$13&lt;6.5)*($D$13&gt;=400)*($D$13&lt;=550),"SK00AM02B","")</f>
        <v/>
      </c>
      <c r="K25" s="22"/>
      <c r="L25" s="22"/>
    </row>
    <row r="26" spans="1:12" ht="15" customHeight="1">
      <c r="A26" s="78"/>
      <c r="B26" s="60" t="s">
        <v>150</v>
      </c>
      <c r="C26" s="14" t="s">
        <v>134</v>
      </c>
      <c r="D26" s="86" t="s">
        <v>123</v>
      </c>
      <c r="E26" s="86"/>
      <c r="F26" s="61" t="str">
        <f t="shared" si="0"/>
        <v/>
      </c>
      <c r="G26" s="62" t="str">
        <f t="shared" si="0"/>
        <v/>
      </c>
      <c r="H26" s="47"/>
      <c r="I26" s="47" t="str">
        <f>IF(($C$13&gt;2)*($C$13&lt;5.2)*($D$13&gt;=450)*($D$13&lt;=580),"SK00AM02A","")</f>
        <v>SK00AM02A</v>
      </c>
      <c r="J26" s="47" t="str">
        <f>IF(($C$13&gt;2)*($C$13&lt;5.2)*($D$13&gt;=450)*($D$13&lt;=580),"SK00AM02B","")</f>
        <v>SK00AM02B</v>
      </c>
      <c r="K26" s="22"/>
      <c r="L26" s="22"/>
    </row>
    <row r="27" spans="1:12" ht="15" customHeight="1">
      <c r="A27" s="78"/>
      <c r="B27" s="60" t="s">
        <v>150</v>
      </c>
      <c r="C27" s="14" t="s">
        <v>135</v>
      </c>
      <c r="D27" s="86" t="s">
        <v>127</v>
      </c>
      <c r="E27" s="86"/>
      <c r="F27" s="61" t="str">
        <f t="shared" si="0"/>
        <v/>
      </c>
      <c r="G27" s="62" t="str">
        <f t="shared" si="0"/>
        <v/>
      </c>
      <c r="H27" s="47"/>
      <c r="I27" s="47" t="str">
        <f>IF(($C$13&gt;11)*($C$13&lt;20)*($D$13&gt;=300)*($D$13&lt;=349),"SK00AH02A","")</f>
        <v/>
      </c>
      <c r="J27" s="48" t="str">
        <f>IF(($C$13&gt;11)*($C$13&lt;20)*($D$13&gt;=300)*($D$13&lt;=349),"SK00AH02B","")</f>
        <v/>
      </c>
      <c r="K27" s="22"/>
      <c r="L27" s="22"/>
    </row>
    <row r="28" spans="1:12" ht="15" customHeight="1">
      <c r="A28" s="78"/>
      <c r="B28" s="60" t="s">
        <v>150</v>
      </c>
      <c r="C28" s="14" t="s">
        <v>136</v>
      </c>
      <c r="D28" s="86" t="s">
        <v>132</v>
      </c>
      <c r="E28" s="86"/>
      <c r="F28" s="61" t="str">
        <f t="shared" si="0"/>
        <v/>
      </c>
      <c r="G28" s="62" t="str">
        <f t="shared" si="0"/>
        <v/>
      </c>
      <c r="H28" s="47"/>
      <c r="I28" s="47" t="str">
        <f>IF(($C$13&gt;8)*($C$13&lt;14.5)*($D$13&gt;=350)*($D$13&lt;=399),"SK00AH02A","")</f>
        <v/>
      </c>
      <c r="J28" s="48" t="str">
        <f>IF(($C$13&gt;8)*($C$13&lt;14.5)*($D$13&gt;=350)*($D$13&lt;=399),"SK00AH02B","")</f>
        <v/>
      </c>
      <c r="K28" s="22"/>
      <c r="L28" s="22"/>
    </row>
    <row r="29" spans="1:12" ht="15" customHeight="1">
      <c r="A29" s="78"/>
      <c r="B29" s="60" t="s">
        <v>151</v>
      </c>
      <c r="C29" s="14" t="s">
        <v>137</v>
      </c>
      <c r="D29" s="86" t="s">
        <v>123</v>
      </c>
      <c r="E29" s="86"/>
      <c r="F29" s="61" t="str">
        <f t="shared" si="0"/>
        <v/>
      </c>
      <c r="G29" s="62" t="str">
        <f t="shared" si="0"/>
        <v/>
      </c>
      <c r="H29" s="47"/>
      <c r="I29" s="47" t="str">
        <f>IF(($C$13&gt;5.8)*($C$13&lt;11.5)*($D$13&gt;=400)*($D$13&lt;=550),"SK00AH02A","")</f>
        <v/>
      </c>
      <c r="J29" s="47" t="str">
        <f>IF(($C$13&gt;5.8)*($C$13&lt;11.5)*($D$13&gt;=400)*($D$13&lt;=550),"SK00AH02B","")</f>
        <v/>
      </c>
      <c r="K29" s="22"/>
      <c r="L29" s="22"/>
    </row>
    <row r="30" spans="1:12" ht="15" customHeight="1">
      <c r="A30" s="78"/>
      <c r="B30" s="60" t="s">
        <v>151</v>
      </c>
      <c r="C30" s="14" t="s">
        <v>138</v>
      </c>
      <c r="D30" s="86" t="s">
        <v>127</v>
      </c>
      <c r="E30" s="86"/>
      <c r="F30" s="61" t="str">
        <f t="shared" si="0"/>
        <v/>
      </c>
      <c r="G30" s="62" t="str">
        <f t="shared" si="0"/>
        <v/>
      </c>
      <c r="H30" s="47"/>
      <c r="I30" s="47" t="str">
        <f>IF(($C$13&gt;4.2)*($C$13&lt;9.2)*($D$13&gt;=450)*($D$13&lt;=580),"SK00AH02A","")</f>
        <v/>
      </c>
      <c r="J30" s="47" t="str">
        <f>IF(($C$13&gt;4.2)*($C$13&lt;9.2)*($D$13&gt;=450)*($D$13&lt;=580),"SK00AH02B","")</f>
        <v/>
      </c>
      <c r="K30" s="22"/>
      <c r="L30" s="22"/>
    </row>
    <row r="31" spans="1:12" ht="15" customHeight="1" thickBot="1">
      <c r="A31" s="78"/>
      <c r="B31" s="64" t="s">
        <v>151</v>
      </c>
      <c r="C31" s="65" t="s">
        <v>139</v>
      </c>
      <c r="D31" s="164" t="s">
        <v>132</v>
      </c>
      <c r="E31" s="164"/>
      <c r="F31" s="66" t="str">
        <f t="shared" si="0"/>
        <v/>
      </c>
      <c r="G31" s="67" t="str">
        <f t="shared" si="0"/>
        <v/>
      </c>
      <c r="H31" s="47"/>
      <c r="I31" s="47" t="str">
        <f>IF(($C$13&gt;13.5)*($C$13&lt;20)*($D$13&gt;=350)*($D$13&lt;=399),"SK00AC02A","")</f>
        <v/>
      </c>
      <c r="J31" s="47" t="str">
        <f>IF(($C$13&gt;13.5)*($C$13&lt;20)*($D$13&gt;=350)*($D$13&lt;=399),"SK00AC02B","")</f>
        <v/>
      </c>
      <c r="K31" s="22"/>
      <c r="L31" s="22"/>
    </row>
    <row r="32" spans="1:12" ht="40.15" customHeight="1">
      <c r="A32" s="77">
        <v>4</v>
      </c>
      <c r="B32" s="142" t="s">
        <v>207</v>
      </c>
      <c r="C32" s="142"/>
      <c r="D32" s="142"/>
      <c r="E32" s="142"/>
      <c r="F32" s="142"/>
      <c r="G32" s="143"/>
      <c r="H32" s="48"/>
      <c r="I32" s="47" t="str">
        <f>IF(($C$13&gt;10.5)*($C$13&lt;20)*($D$13&gt;=400)*($D$13&lt;=550),"SK00AC02A","")</f>
        <v/>
      </c>
      <c r="J32" s="48" t="str">
        <f>IF(($C$13&gt;10.5)*($C$13&lt;20)*($D$13&gt;=400)*($D$13&lt;=550),"SK00AC02B","")</f>
        <v/>
      </c>
      <c r="K32" s="22"/>
      <c r="L32" s="22"/>
    </row>
    <row r="33" spans="1:12" ht="19.899999999999999" customHeight="1">
      <c r="A33" s="78"/>
      <c r="B33" s="165" t="s">
        <v>208</v>
      </c>
      <c r="C33" s="166"/>
      <c r="D33" s="151" t="s">
        <v>197</v>
      </c>
      <c r="E33" s="151"/>
      <c r="F33" s="165" t="s">
        <v>209</v>
      </c>
      <c r="G33" s="167"/>
      <c r="H33" s="48"/>
      <c r="I33" s="47" t="str">
        <f>IF(C13&gt;16.5," the door is too heavy",IF(($C$13&gt;8.3)*($C$13&lt;16.5)*($D$13&gt;=450)*($D$13&lt;=580),"SK00AC02A",""))</f>
        <v/>
      </c>
      <c r="J33" s="47" t="str">
        <f>IF(C13&gt;16.5," the door is too heavy",IF(($C$13&gt;8.3)*($C$13&lt;16.5)*($D$13&gt;=450)*($D$13&lt;=580),"SK00AC02B",""))</f>
        <v/>
      </c>
      <c r="K33" s="22"/>
      <c r="L33" s="22"/>
    </row>
    <row r="34" spans="1:12" ht="15" customHeight="1">
      <c r="A34" s="78"/>
      <c r="B34" s="168" t="s">
        <v>210</v>
      </c>
      <c r="C34" s="169"/>
      <c r="D34" s="86" t="s">
        <v>121</v>
      </c>
      <c r="E34" s="86"/>
      <c r="F34" s="178" t="str">
        <f>I35</f>
        <v/>
      </c>
      <c r="G34" s="179"/>
      <c r="H34" s="48"/>
      <c r="I34" s="47"/>
      <c r="J34" s="48"/>
      <c r="K34" s="22"/>
      <c r="L34" s="22"/>
    </row>
    <row r="35" spans="1:12" ht="15" customHeight="1">
      <c r="A35" s="78"/>
      <c r="B35" s="168" t="s">
        <v>144</v>
      </c>
      <c r="C35" s="169"/>
      <c r="D35" s="86" t="s">
        <v>123</v>
      </c>
      <c r="E35" s="86"/>
      <c r="F35" s="178" t="str">
        <f t="shared" ref="F35:F36" si="1">I36</f>
        <v/>
      </c>
      <c r="G35" s="179"/>
      <c r="H35" s="48"/>
      <c r="I35" s="47" t="str">
        <f>IF(D13&lt;300,"the door is too short",IF(($D$13&gt;=300)*($D$13&lt;=349),"SK300A01",""))</f>
        <v/>
      </c>
      <c r="J35" s="48"/>
      <c r="K35" s="22"/>
      <c r="L35" s="22"/>
    </row>
    <row r="36" spans="1:12" ht="15" customHeight="1">
      <c r="A36" s="78"/>
      <c r="B36" s="168" t="s">
        <v>145</v>
      </c>
      <c r="C36" s="169"/>
      <c r="D36" s="86" t="s">
        <v>127</v>
      </c>
      <c r="E36" s="86"/>
      <c r="F36" s="178" t="str">
        <f t="shared" si="1"/>
        <v>SK400A01</v>
      </c>
      <c r="G36" s="179"/>
      <c r="H36" s="48"/>
      <c r="I36" s="47" t="str">
        <f>IF(($D$13&gt;=350)*($D$13&lt;=399),"SK350A01","")</f>
        <v/>
      </c>
      <c r="J36" s="48"/>
      <c r="K36" s="22"/>
      <c r="L36" s="22"/>
    </row>
    <row r="37" spans="1:12" ht="15" customHeight="1" thickBot="1">
      <c r="A37" s="79"/>
      <c r="B37" s="170" t="s">
        <v>146</v>
      </c>
      <c r="C37" s="171"/>
      <c r="D37" s="120" t="s">
        <v>132</v>
      </c>
      <c r="E37" s="120"/>
      <c r="F37" s="180" t="str">
        <f>I38</f>
        <v/>
      </c>
      <c r="G37" s="181"/>
      <c r="H37" s="48"/>
      <c r="I37" s="47" t="str">
        <f>IF(($D$13&gt;=400)*($D$13&lt;=550),"SK400A01","")</f>
        <v>SK400A01</v>
      </c>
      <c r="J37" s="48"/>
      <c r="K37" s="22"/>
    </row>
    <row r="38" spans="1:12" ht="15" customHeight="1">
      <c r="A38" s="172" t="s">
        <v>105</v>
      </c>
      <c r="B38" s="173"/>
      <c r="C38" s="173"/>
      <c r="D38" s="173"/>
      <c r="E38" s="173"/>
      <c r="F38" s="173"/>
      <c r="G38" s="174"/>
      <c r="I38" s="47" t="str">
        <f>IF(D13&gt;580,"the door is too high",IF(($D$13&gt;550)*($D$13&lt;=580),"SK450A01",""))</f>
        <v/>
      </c>
      <c r="J38" s="48"/>
    </row>
    <row r="39" spans="1:12" ht="15" customHeight="1" thickBot="1">
      <c r="A39" s="175"/>
      <c r="B39" s="176"/>
      <c r="C39" s="176"/>
      <c r="D39" s="176"/>
      <c r="E39" s="176"/>
      <c r="F39" s="176"/>
      <c r="G39" s="177"/>
      <c r="J39" s="22"/>
    </row>
    <row r="40" spans="1:12" ht="29.25" customHeight="1">
      <c r="B40" s="182" t="s">
        <v>211</v>
      </c>
      <c r="C40" s="182"/>
      <c r="D40" s="182"/>
      <c r="E40" s="182"/>
      <c r="F40" s="182"/>
      <c r="G40" s="182"/>
    </row>
  </sheetData>
  <mergeCells count="50">
    <mergeCell ref="B40:G40"/>
    <mergeCell ref="A1:G7"/>
    <mergeCell ref="J1:K1"/>
    <mergeCell ref="A8:A10"/>
    <mergeCell ref="B8:G8"/>
    <mergeCell ref="D9:D10"/>
    <mergeCell ref="F9:G10"/>
    <mergeCell ref="A11:A13"/>
    <mergeCell ref="B11:G11"/>
    <mergeCell ref="B12:B13"/>
    <mergeCell ref="D12:E12"/>
    <mergeCell ref="F12:G13"/>
    <mergeCell ref="D13:E13"/>
    <mergeCell ref="D28:E28"/>
    <mergeCell ref="A14:A31"/>
    <mergeCell ref="B14:G14"/>
    <mergeCell ref="D15:E15"/>
    <mergeCell ref="D16:E16"/>
    <mergeCell ref="D17:E17"/>
    <mergeCell ref="D18:E18"/>
    <mergeCell ref="D19:E19"/>
    <mergeCell ref="D20:E20"/>
    <mergeCell ref="D21:E21"/>
    <mergeCell ref="D22:E22"/>
    <mergeCell ref="D23:E23"/>
    <mergeCell ref="D24:E24"/>
    <mergeCell ref="D25:E25"/>
    <mergeCell ref="D26:E26"/>
    <mergeCell ref="D27:E27"/>
    <mergeCell ref="D29:E29"/>
    <mergeCell ref="D30:E30"/>
    <mergeCell ref="D31:E31"/>
    <mergeCell ref="A32:A37"/>
    <mergeCell ref="B32:G32"/>
    <mergeCell ref="B33:C33"/>
    <mergeCell ref="D33:E33"/>
    <mergeCell ref="F33:G33"/>
    <mergeCell ref="B34:C34"/>
    <mergeCell ref="D34:E34"/>
    <mergeCell ref="B37:C37"/>
    <mergeCell ref="D37:E37"/>
    <mergeCell ref="F37:G37"/>
    <mergeCell ref="A38:G39"/>
    <mergeCell ref="F34:G34"/>
    <mergeCell ref="B35:C35"/>
    <mergeCell ref="D35:E35"/>
    <mergeCell ref="F35:G35"/>
    <mergeCell ref="B36:C36"/>
    <mergeCell ref="D36:E36"/>
    <mergeCell ref="F36:G36"/>
  </mergeCells>
  <phoneticPr fontId="14" type="noConversion"/>
  <hyperlinks>
    <hyperlink ref="A38" r:id="rId1" xr:uid="{3D2FB998-2BD8-4BF8-8290-DA999B39067A}"/>
  </hyperlinks>
  <pageMargins left="0.7" right="0.7" top="0.75" bottom="0.75" header="0.3" footer="0.3"/>
  <drawing r:id="rId2"/>
  <legacyDrawing r:id="rId3"/>
  <oleObjects>
    <mc:AlternateContent xmlns:mc="http://schemas.openxmlformats.org/markup-compatibility/2006">
      <mc:Choice Requires="x14">
        <oleObject progId="CorelDraw.Graphic.18" shapeId="12289" r:id="rId4">
          <objectPr defaultSize="0" autoPict="0" r:id="rId5">
            <anchor moveWithCells="1">
              <from>
                <xdr:col>0</xdr:col>
                <xdr:colOff>133350</xdr:colOff>
                <xdr:row>0</xdr:row>
                <xdr:rowOff>95250</xdr:rowOff>
              </from>
              <to>
                <xdr:col>1</xdr:col>
                <xdr:colOff>1247775</xdr:colOff>
                <xdr:row>2</xdr:row>
                <xdr:rowOff>228600</xdr:rowOff>
              </to>
            </anchor>
          </objectPr>
        </oleObject>
      </mc:Choice>
      <mc:Fallback>
        <oleObject progId="CorelDraw.Graphic.18" shapeId="12289" r:id="rId4"/>
      </mc:Fallback>
    </mc:AlternateContent>
  </oleObjects>
  <mc:AlternateContent xmlns:mc="http://schemas.openxmlformats.org/markup-compatibility/2006">
    <mc:Choice Requires="x14">
      <controls>
        <mc:AlternateContent xmlns:mc="http://schemas.openxmlformats.org/markup-compatibility/2006">
          <mc:Choice Requires="x14">
            <control shapeId="12290" r:id="rId6" name="Drop Down 2">
              <controlPr defaultSize="0" autoLine="0" autoPict="0">
                <anchor>
                  <from>
                    <xdr:col>1</xdr:col>
                    <xdr:colOff>209550</xdr:colOff>
                    <xdr:row>11</xdr:row>
                    <xdr:rowOff>95250</xdr:rowOff>
                  </from>
                  <to>
                    <xdr:col>1</xdr:col>
                    <xdr:colOff>2390775</xdr:colOff>
                    <xdr:row>12</xdr:row>
                    <xdr:rowOff>152400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Έγγραφο" ma:contentTypeID="0x010100E2BA9EB323A3694F883735EDEE44422C" ma:contentTypeVersion="17" ma:contentTypeDescription="Δημιουργία νέου εγγράφου" ma:contentTypeScope="" ma:versionID="a6c13d384565c9ecfd8855429b29c92e">
  <xsd:schema xmlns:xsd="http://www.w3.org/2001/XMLSchema" xmlns:xs="http://www.w3.org/2001/XMLSchema" xmlns:p="http://schemas.microsoft.com/office/2006/metadata/properties" xmlns:ns2="6e264de0-91bf-42f3-abe1-69b10d1026c7" xmlns:ns3="49bc0dba-52c4-47b1-a8b1-323b5e114931" targetNamespace="http://schemas.microsoft.com/office/2006/metadata/properties" ma:root="true" ma:fieldsID="a99d080f925a666d14d01a77bbd231de" ns2:_="" ns3:_="">
    <xsd:import namespace="6e264de0-91bf-42f3-abe1-69b10d1026c7"/>
    <xsd:import namespace="49bc0dba-52c4-47b1-a8b1-323b5e114931"/>
    <xsd:element name="properties">
      <xsd:complexType>
        <xsd:sequence>
          <xsd:element name="documentManagement">
            <xsd:complexType>
              <xsd:all>
                <xsd:element ref="ns2:_dlc_DocId" minOccurs="0"/>
                <xsd:element ref="ns2:_dlc_DocIdUrl" minOccurs="0"/>
                <xsd:element ref="ns2:_dlc_DocIdPersistId" minOccurs="0"/>
                <xsd:element ref="ns3:ObjCode" minOccurs="0"/>
                <xsd:element ref="ns3:ObjName" minOccurs="0"/>
                <xsd:element ref="ns3:ObjColor" minOccurs="0"/>
                <xsd:element ref="ns3:ObjCategory" minOccurs="0"/>
                <xsd:element ref="ns3:ObjRemarks" minOccurs="0"/>
                <xsd:element ref="ns3:ObjFilename" minOccurs="0"/>
                <xsd:element ref="ns3:MediaServiceMetadata" minOccurs="0"/>
                <xsd:element ref="ns3:MediaServiceFastMetadata" minOccurs="0"/>
                <xsd:element ref="ns3:MediaServiceSearchProperties" minOccurs="0"/>
                <xsd:element ref="ns3:MediaServiceDateTaken" minOccurs="0"/>
                <xsd:element ref="ns3:MediaServiceGenerationTime" minOccurs="0"/>
                <xsd:element ref="ns3:MediaServiceEventHashCode" minOccurs="0"/>
                <xsd:element ref="ns3:lcf76f155ced4ddcb4097134ff3c332f" minOccurs="0"/>
                <xsd:element ref="ns2:TaxCatchAll" minOccurs="0"/>
                <xsd:element ref="ns3:MediaServiceOCR"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e264de0-91bf-42f3-abe1-69b10d1026c7" elementFormDefault="qualified">
    <xsd:import namespace="http://schemas.microsoft.com/office/2006/documentManagement/types"/>
    <xsd:import namespace="http://schemas.microsoft.com/office/infopath/2007/PartnerControls"/>
    <xsd:element name="_dlc_DocId" ma:index="8" nillable="true" ma:displayName="Τιμή αναγνωριστικού εγγράφου" ma:description="Η τιμή του αναγνωριστικού εγγράφου που έχει αντιστοιχιστεί σε αυτό το στοιχείο." ma:internalName="_dlc_DocId" ma:readOnly="true">
      <xsd:simpleType>
        <xsd:restriction base="dms:Text"/>
      </xsd:simpleType>
    </xsd:element>
    <xsd:element name="_dlc_DocIdUrl" ma:index="9" nillable="true" ma:displayName="Αναγνωριστικό εγγράφου" ma:description="Μόνιμη σύνδεση σε αυτό το έγγραφο."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25" nillable="true" ma:displayName="Taxonomy Catch All Column" ma:hidden="true" ma:list="{156cd570-bce2-42e0-8029-9e25a45e1fb6}" ma:internalName="TaxCatchAll" ma:showField="CatchAllData" ma:web="6e264de0-91bf-42f3-abe1-69b10d1026c7">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49bc0dba-52c4-47b1-a8b1-323b5e114931" elementFormDefault="qualified">
    <xsd:import namespace="http://schemas.microsoft.com/office/2006/documentManagement/types"/>
    <xsd:import namespace="http://schemas.microsoft.com/office/infopath/2007/PartnerControls"/>
    <xsd:element name="ObjCode" ma:index="11" nillable="true" ma:displayName="ObjCode" ma:internalName="ObjCode">
      <xsd:simpleType>
        <xsd:restriction base="dms:Text"/>
      </xsd:simpleType>
    </xsd:element>
    <xsd:element name="ObjName" ma:index="12" nillable="true" ma:displayName="ObjName" ma:internalName="ObjName">
      <xsd:simpleType>
        <xsd:restriction base="dms:Text"/>
      </xsd:simpleType>
    </xsd:element>
    <xsd:element name="ObjColor" ma:index="13" nillable="true" ma:displayName="ObjColor" ma:internalName="ObjColor">
      <xsd:simpleType>
        <xsd:restriction base="dms:Text"/>
      </xsd:simpleType>
    </xsd:element>
    <xsd:element name="ObjCategory" ma:index="14" nillable="true" ma:displayName="ObjCategory" ma:internalName="ObjCategory">
      <xsd:simpleType>
        <xsd:restriction base="dms:Text"/>
      </xsd:simpleType>
    </xsd:element>
    <xsd:element name="ObjRemarks" ma:index="15" nillable="true" ma:displayName="ObjRemarks" ma:internalName="ObjRemarks">
      <xsd:simpleType>
        <xsd:restriction base="dms:Text"/>
      </xsd:simpleType>
    </xsd:element>
    <xsd:element name="ObjFilename" ma:index="16" nillable="true" ma:displayName="ObjFilename" ma:internalName="ObjFilename">
      <xsd:simpleType>
        <xsd:restriction base="dms:Text"/>
      </xsd:simpleType>
    </xsd:element>
    <xsd:element name="MediaServiceMetadata" ma:index="17" nillable="true" ma:displayName="MediaServiceMetadata" ma:hidden="true" ma:internalName="MediaServiceMetadata" ma:readOnly="true">
      <xsd:simpleType>
        <xsd:restriction base="dms:Note"/>
      </xsd:simpleType>
    </xsd:element>
    <xsd:element name="MediaServiceFastMetadata" ma:index="18" nillable="true" ma:displayName="MediaServiceFastMetadata" ma:hidden="true" ma:internalName="MediaServiceFastMetadata" ma:readOnly="true">
      <xsd:simpleType>
        <xsd:restriction base="dms:Note"/>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lcf76f155ced4ddcb4097134ff3c332f" ma:index="24" nillable="true" ma:taxonomy="true" ma:internalName="lcf76f155ced4ddcb4097134ff3c332f" ma:taxonomyFieldName="MediaServiceImageTags" ma:displayName="Ετικέτες εικόνας" ma:readOnly="false" ma:fieldId="{5cf76f15-5ced-4ddc-b409-7134ff3c332f}" ma:taxonomyMulti="true" ma:sspId="ff039847-dbad-4a7d-814e-4557646c911a" ma:termSetId="09814cd3-568e-fe90-9814-8d621ff8fb84" ma:anchorId="fba54fb3-c3e1-fe81-a776-ca4b69148c4d" ma:open="true" ma:isKeyword="false">
      <xsd:complexType>
        <xsd:sequence>
          <xsd:element ref="pc:Terms" minOccurs="0" maxOccurs="1"/>
        </xsd:sequence>
      </xsd:complexType>
    </xsd:element>
    <xsd:element name="MediaServiceOCR" ma:index="26" nillable="true" ma:displayName="Extracted Text" ma:internalName="MediaServiceOCR" ma:readOnly="true">
      <xsd:simpleType>
        <xsd:restriction base="dms:Note">
          <xsd:maxLength value="255"/>
        </xsd:restriction>
      </xsd:simpleType>
    </xsd:element>
    <xsd:element name="MediaLengthInSeconds" ma:index="27"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Τύπος περιεχομένου"/>
        <xsd:element ref="dc:title" minOccurs="0" maxOccurs="1" ma:index="4" ma:displayName="Τίτλο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_dlc_DocId xmlns="6e264de0-91bf-42f3-abe1-69b10d1026c7">K3AAJEHMUSDA-1039207618-191</_dlc_DocId>
    <_dlc_DocIdUrl xmlns="6e264de0-91bf-42f3-abe1-69b10d1026c7">
      <Url>https://marmouris.sharepoint.com/sites/files/_layouts/15/DocIdRedir.aspx?ID=K3AAJEHMUSDA-1039207618-191</Url>
      <Description>K3AAJEHMUSDA-1039207618-191</Description>
    </_dlc_DocIdUrl>
    <TaxCatchAll xmlns="6e264de0-91bf-42f3-abe1-69b10d1026c7" xsi:nil="true"/>
    <ObjName xmlns="49bc0dba-52c4-47b1-a8b1-323b5e114931">ΜΗΧANIΣΜΟΣ ΑΝΥΨΩΣΗΣ ΓΙΑ ΠΟΡΤΑΚΙ Υ300-580mm ΚΑΙ ΠΛΑΤΟΣ ΕΩΣ 1800mm (ΜΕΡΟΣ Α) STRONG ΓΚΡΙ DTC</ObjName>
    <ObjRemarks xmlns="49bc0dba-52c4-47b1-a8b1-323b5e114931" xsi:nil="true"/>
    <ObjCategory xmlns="49bc0dba-52c4-47b1-a8b1-323b5e114931">Σχεδιάγραμμα</ObjCategory>
    <ObjColor xmlns="49bc0dba-52c4-47b1-a8b1-323b5e114931" xsi:nil="true"/>
    <ObjCode xmlns="49bc0dba-52c4-47b1-a8b1-323b5e114931">408-SK00AH02B</ObjCode>
    <ObjFilename xmlns="49bc0dba-52c4-47b1-a8b1-323b5e114931">Calculator TOP STAYS-SK</ObjFilename>
    <lcf76f155ced4ddcb4097134ff3c332f xmlns="49bc0dba-52c4-47b1-a8b1-323b5e114931">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494043FE-1F82-4413-965C-DB33C58D7AA0}">
  <ds:schemaRefs>
    <ds:schemaRef ds:uri="http://schemas.microsoft.com/sharepoint/v3/contenttype/forms"/>
  </ds:schemaRefs>
</ds:datastoreItem>
</file>

<file path=customXml/itemProps2.xml><?xml version="1.0" encoding="utf-8"?>
<ds:datastoreItem xmlns:ds="http://schemas.openxmlformats.org/officeDocument/2006/customXml" ds:itemID="{8A4A2126-FDB3-41D5-8335-57AF68CA0ABD}">
  <ds:schemaRefs>
    <ds:schemaRef ds:uri="http://schemas.microsoft.com/sharepoint/events"/>
  </ds:schemaRefs>
</ds:datastoreItem>
</file>

<file path=customXml/itemProps3.xml><?xml version="1.0" encoding="utf-8"?>
<ds:datastoreItem xmlns:ds="http://schemas.openxmlformats.org/officeDocument/2006/customXml" ds:itemID="{B4111A7D-C8EE-4E49-B78F-E7B8D8A3EA7B}"/>
</file>

<file path=customXml/itemProps4.xml><?xml version="1.0" encoding="utf-8"?>
<ds:datastoreItem xmlns:ds="http://schemas.openxmlformats.org/officeDocument/2006/customXml" ds:itemID="{98DF91B8-FD36-41CD-90D1-E825C128D45A}">
  <ds:schemaRefs>
    <ds:schemaRef ds:uri="http://schemas.microsoft.com/office/2006/metadata/properties"/>
    <ds:schemaRef ds:uri="http://schemas.microsoft.com/office/infopath/2007/PartnerControls"/>
    <ds:schemaRef ds:uri="6e264de0-91bf-42f3-abe1-69b10d1026c7"/>
    <ds:schemaRef ds:uri="49bc0dba-52c4-47b1-a8b1-323b5e11493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Φύλλα εργασίας</vt:lpstr>
      </vt:variant>
      <vt:variant>
        <vt:i4>7</vt:i4>
      </vt:variant>
    </vt:vector>
  </HeadingPairs>
  <TitlesOfParts>
    <vt:vector size="7" baseType="lpstr">
      <vt:lpstr>SQ new</vt:lpstr>
      <vt:lpstr>SQ old</vt:lpstr>
      <vt:lpstr>SF</vt:lpstr>
      <vt:lpstr>SE</vt:lpstr>
      <vt:lpstr>ST</vt:lpstr>
      <vt:lpstr>SK En</vt:lpstr>
      <vt:lpstr>SK Gr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2026-01-22T06:19:38Z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0x010100E2BA9EB323A3694F883735EDEE44422C</vt:lpwstr>
  </property>
  <property fmtid="{D5CDD505-2E9C-101B-9397-08002B2CF9AE}" pid="3" name="_dlc_DocIdItemGuid">
    <vt:lpwstr>3c6bb76d-576e-4f88-8a51-fdb2bb16e4b5</vt:lpwstr>
  </property>
  <property fmtid="{D5CDD505-2E9C-101B-9397-08002B2CF9AE}" pid="4" name="MediaServiceImageTags">
    <vt:lpwstr/>
  </property>
</Properties>
</file>