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embeddings/oleObject3.bin" ContentType="application/vnd.openxmlformats-officedocument.oleObject"/>
  <Override PartName="/xl/ctrlProps/ctrlProp3.xml" ContentType="application/vnd.ms-excel.controlproperties+xml"/>
  <Override PartName="/xl/drawings/drawing3.xml" ContentType="application/vnd.openxmlformats-officedocument.drawing+xml"/>
  <Override PartName="/xl/embeddings/oleObject4.bin" ContentType="application/vnd.openxmlformats-officedocument.oleObject"/>
  <Override PartName="/xl/ctrlProps/ctrlProp4.xml" ContentType="application/vnd.ms-excel.controlproperties+xml"/>
  <Override PartName="/xl/drawings/drawing4.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embeddings/oleObject7.bin" ContentType="application/vnd.openxmlformats-officedocument.oleObject"/>
  <Override PartName="/xl/ctrlProps/ctrlProp7.xml" ContentType="application/vnd.ms-excel.controlproperties+xml"/>
  <Override PartName="/xl/drawings/drawing6.xml" ContentType="application/vnd.openxmlformats-officedocument.drawing+xml"/>
  <Override PartName="/xl/embeddings/oleObject8.bin" ContentType="application/vnd.openxmlformats-officedocument.oleObject"/>
  <Override PartName="/xl/ctrlProps/ctrlProp8.xml" ContentType="application/vnd.ms-excel.controlproperties+xml"/>
  <Override PartName="/xl/drawings/drawing7.xml" ContentType="application/vnd.openxmlformats-officedocument.drawing+xml"/>
  <Override PartName="/xl/embeddings/oleObject9.bin" ContentType="application/vnd.openxmlformats-officedocument.oleObject"/>
  <Override PartName="/xl/ctrlProps/ctrlProp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8_{3438875F-AAE1-4A75-ACC7-B0C0EC414754}" xr6:coauthVersionLast="47" xr6:coauthVersionMax="47" xr10:uidLastSave="{00000000-0000-0000-0000-000000000000}"/>
  <bookViews>
    <workbookView xWindow="-120" yWindow="-120" windowWidth="29040" windowHeight="15720" firstSheet="5" activeTab="6" xr2:uid="{00000000-000D-0000-FFFF-FFFF00000000}"/>
  </bookViews>
  <sheets>
    <sheet name="SQ new" sheetId="7" state="hidden" r:id="rId1"/>
    <sheet name="SQ old" sheetId="1" state="hidden" r:id="rId2"/>
    <sheet name="SF" sheetId="2" state="hidden" r:id="rId3"/>
    <sheet name="SE" sheetId="5" state="hidden" r:id="rId4"/>
    <sheet name="ST" sheetId="6" state="hidden" r:id="rId5"/>
    <sheet name="SK En" sheetId="9" r:id="rId6"/>
    <sheet name="SK Gr" sheetId="8" r:id="rId7"/>
  </sheets>
  <definedNames>
    <definedName name="Z_947B752F_E4E5_4C5C_81CB_1317F626B06B_.wvu.Cols" localSheetId="3" hidden="1">SE!$G:$J</definedName>
    <definedName name="Z_947B752F_E4E5_4C5C_81CB_1317F626B06B_.wvu.Cols" localSheetId="2" hidden="1">SF!$G:$J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4" hidden="1">ST!$H:$K</definedName>
  </definedNames>
  <calcPr calcId="191029" iterateDelta="1E-4"/>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9" l="1"/>
  <c r="K9" i="9"/>
  <c r="L9" i="9"/>
  <c r="C13" i="9" s="1"/>
  <c r="K10" i="9"/>
  <c r="K11" i="9"/>
  <c r="K12" i="9"/>
  <c r="D13" i="9"/>
  <c r="I36" i="9" s="1"/>
  <c r="F35" i="9" s="1"/>
  <c r="K13" i="9"/>
  <c r="K14" i="9"/>
  <c r="K15" i="9"/>
  <c r="K16" i="9"/>
  <c r="L16" i="9"/>
  <c r="L15" i="9" s="1"/>
  <c r="L14" i="9" s="1"/>
  <c r="L13" i="9" s="1"/>
  <c r="L12" i="9" s="1"/>
  <c r="L11" i="9" s="1"/>
  <c r="L10" i="9" s="1"/>
  <c r="I35" i="9"/>
  <c r="F34" i="9" s="1"/>
  <c r="I38" i="9"/>
  <c r="F37" i="9" s="1"/>
  <c r="I26" i="9" l="1"/>
  <c r="F24" i="9" s="1"/>
  <c r="I33" i="9"/>
  <c r="F31" i="9" s="1"/>
  <c r="J18" i="9"/>
  <c r="G16" i="9" s="1"/>
  <c r="J20" i="9"/>
  <c r="G18" i="9" s="1"/>
  <c r="J24" i="9"/>
  <c r="G22" i="9" s="1"/>
  <c r="J28" i="9"/>
  <c r="G26" i="9" s="1"/>
  <c r="J33" i="9"/>
  <c r="G31" i="9" s="1"/>
  <c r="I19" i="9"/>
  <c r="F17" i="9" s="1"/>
  <c r="I21" i="9"/>
  <c r="F19" i="9" s="1"/>
  <c r="I23" i="9"/>
  <c r="F21" i="9" s="1"/>
  <c r="I27" i="9"/>
  <c r="F25" i="9" s="1"/>
  <c r="I29" i="9"/>
  <c r="F27" i="9" s="1"/>
  <c r="I31" i="9"/>
  <c r="F29" i="9" s="1"/>
  <c r="J19" i="9"/>
  <c r="G17" i="9" s="1"/>
  <c r="J23" i="9"/>
  <c r="G21" i="9" s="1"/>
  <c r="J25" i="9"/>
  <c r="G23" i="9" s="1"/>
  <c r="J29" i="9"/>
  <c r="G27" i="9" s="1"/>
  <c r="I32" i="9"/>
  <c r="F30" i="9" s="1"/>
  <c r="J32" i="9"/>
  <c r="G30" i="9" s="1"/>
  <c r="I18" i="9"/>
  <c r="F16" i="9" s="1"/>
  <c r="I20" i="9"/>
  <c r="F18" i="9" s="1"/>
  <c r="I22" i="9"/>
  <c r="F20" i="9" s="1"/>
  <c r="I24" i="9"/>
  <c r="F22" i="9" s="1"/>
  <c r="I28" i="9"/>
  <c r="F26" i="9" s="1"/>
  <c r="I30" i="9"/>
  <c r="F28" i="9" s="1"/>
  <c r="J22" i="9"/>
  <c r="G20" i="9" s="1"/>
  <c r="J26" i="9"/>
  <c r="G24" i="9" s="1"/>
  <c r="J30" i="9"/>
  <c r="G28" i="9" s="1"/>
  <c r="I25" i="9"/>
  <c r="F23" i="9" s="1"/>
  <c r="J21" i="9"/>
  <c r="G19" i="9" s="1"/>
  <c r="J27" i="9"/>
  <c r="G25" i="9" s="1"/>
  <c r="J31" i="9"/>
  <c r="G29" i="9" s="1"/>
  <c r="I37" i="9"/>
  <c r="F36"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4" i="2" l="1"/>
  <c r="J13" i="2" s="1"/>
  <c r="J12" i="2" s="1"/>
  <c r="J11" i="2" s="1"/>
  <c r="J10" i="2" s="1"/>
  <c r="J12" i="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<sst xmlns="http://schemas.openxmlformats.org/spreadsheetml/2006/main" count="510" uniqueCount="225">
  <si>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</si>
  <si>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</si>
  <si>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</si>
  <si>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</si>
  <si>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</si>
  <si>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</si>
  <si>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</si>
  <si>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</si>
  <si>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</si>
  <si>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</si>
  <si>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</si>
  <si>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</si>
  <si>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</si>
  <si>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</si>
  <si>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</si>
  <si>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</si>
  <si>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</si>
  <si>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</si>
  <si>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</si>
  <si>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</si>
  <si>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</si>
  <si>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</si>
  <si>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</si>
  <si>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</si>
  <si>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</si>
  <si>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</si>
  <si>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</si>
  <si>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</si>
  <si>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</si>
  <si>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</si>
  <si>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</si>
  <si>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</si>
  <si>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</si>
  <si>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</si>
  <si>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</si>
  <si>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</si>
  <si>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</si>
  <si>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</si>
  <si>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</si>
  <si>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</si>
  <si>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</si>
  <si>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</si>
  <si>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</si>
  <si>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</si>
  <si>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</si>
  <si>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</si>
  <si>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</si>
  <si>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</si>
  <si>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</si>
  <si>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</si>
  <si>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</si>
  <si>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</si>
  <si>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</si>
  <si>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</si>
  <si>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</si>
  <si>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</si>
  <si>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</si>
  <si>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</si>
  <si>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</si>
  <si>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</si>
  <si>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</si>
  <si>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</si>
  <si>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</si>
  <si>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</si>
  <si>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</si>
  <si>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</si>
  <si>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</si>
  <si>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</si>
  <si>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</si>
  <si>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</si>
  <si>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</si>
  <si>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</si>
  <si>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</si>
  <si>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</si>
  <si>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</si>
  <si>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</si>
  <si>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</si>
  <si>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</si>
  <si>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</si>
  <si>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</si>
  <si>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</si>
  <si>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</si>
  <si>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</si>
  <si>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</si>
  <si>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</si>
  <si>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</si>
  <si>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</si>
  <si>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</si>
  <si>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</si>
  <si>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4" type="noConversion"/>
  </si>
  <si>
    <t>weight of handle, in gram</t>
    <phoneticPr fontId="14" type="noConversion"/>
  </si>
  <si>
    <t>calculator list SQ:</t>
    <phoneticPr fontId="14" type="noConversion"/>
  </si>
  <si>
    <t>density 1м2</t>
    <phoneticPr fontId="14" type="noConversion"/>
  </si>
  <si>
    <t>calculation</t>
    <phoneticPr fontId="14" type="noConversion"/>
  </si>
  <si>
    <t>formula</t>
    <phoneticPr fontId="14" type="noConversion"/>
  </si>
  <si>
    <t>Material</t>
    <phoneticPr fontId="14" type="noConversion"/>
  </si>
  <si>
    <t>chipboard 16 мм</t>
    <phoneticPr fontId="14" type="noConversion"/>
  </si>
  <si>
    <t>chipboard 18 мм</t>
    <phoneticPr fontId="14" type="noConversion"/>
  </si>
  <si>
    <t>МDF 16 мм</t>
    <phoneticPr fontId="14" type="noConversion"/>
  </si>
  <si>
    <t>МDF 18/19 мм</t>
    <phoneticPr fontId="14" type="noConversion"/>
  </si>
  <si>
    <t>solid wood 16 мм</t>
    <phoneticPr fontId="14" type="noConversion"/>
  </si>
  <si>
    <t>solid wood 18 мм</t>
    <phoneticPr fontId="14" type="noConversion"/>
  </si>
  <si>
    <t>Aluminium Frame</t>
    <phoneticPr fontId="14" type="noConversion"/>
  </si>
  <si>
    <t>door weight, in kg</t>
    <phoneticPr fontId="14" type="noConversion"/>
  </si>
  <si>
    <t>power factor (LF)</t>
    <phoneticPr fontId="14" type="noConversion"/>
  </si>
  <si>
    <t>www.dtcdtc.com</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</si>
  <si>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4" type="noConversion"/>
  </si>
  <si>
    <t>calculator list SF:</t>
    <phoneticPr fontId="14" type="noConversion"/>
  </si>
  <si>
    <t>calculator list SE:</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</si>
  <si>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4" type="noConversion"/>
  </si>
  <si>
    <t>calculator list ST:</t>
    <phoneticPr fontId="14" type="noConversion"/>
  </si>
  <si>
    <t>door height, in mm</t>
    <phoneticPr fontId="14"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</si>
  <si>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4"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</si>
  <si>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4" type="noConversion"/>
  </si>
  <si>
    <t>МDF 22 мм</t>
    <phoneticPr fontId="14" type="noConversion"/>
  </si>
  <si>
    <t>solid wood 22 мм</t>
    <phoneticPr fontId="14" type="noConversion"/>
  </si>
  <si>
    <t>Счетчик списка SQ:</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</si>
  <si>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4" type="noConversion"/>
  </si>
  <si>
    <t>Х</t>
    <phoneticPr fontId="14"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</si>
  <si>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</si>
  <si>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</si>
  <si>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</si>
  <si>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</si>
  <si>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</si>
  <si>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</si>
  <si>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</si>
  <si>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</si>
  <si>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</si>
  <si>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</si>
  <si>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</si>
  <si>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</si>
  <si>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</si>
  <si>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</si>
  <si>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</si>
  <si>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</si>
  <si>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</si>
  <si>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</si>
  <si>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</si>
  <si>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</si>
  <si>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</si>
  <si>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</si>
  <si>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4" type="noConversion"/>
  </si>
  <si>
    <t>weight of handle, in g</t>
    <phoneticPr fontId="14" type="noConversion"/>
  </si>
  <si>
    <t>calculator list SK:</t>
    <phoneticPr fontId="14" type="noConversion"/>
  </si>
  <si>
    <t>lever arm set ТOP STAY SK 350-399</t>
  </si>
  <si>
    <t>lever arm set ТOP STAY SK 400-550</t>
  </si>
  <si>
    <t>lever arm set ТOP STAY SK 450-580</t>
  </si>
  <si>
    <t>ТOP STAY SK (D) super light</t>
  </si>
  <si>
    <t>ТOP STAY SK (L) light</t>
  </si>
  <si>
    <t>ТOP STAY SK (M) medium</t>
  </si>
  <si>
    <t>ТOP STAY SK (H) strong</t>
  </si>
  <si>
    <t>ТOP STAY SK (С) super strong</t>
  </si>
  <si>
    <t>Ύψος,σε mm (max. 700мм)</t>
  </si>
  <si>
    <t>Μέγεθος πόρτας και βάρος χερουλιού</t>
  </si>
  <si>
    <t xml:space="preserve">Επίλεξε το υλικό τη λίστα και υπολόγισε το βάρος πόρτας &amp; του συντελεστή δύναμης </t>
  </si>
  <si>
    <t>βάρος πόρτας, σε kg</t>
  </si>
  <si>
    <t>συντελεστής δύναμης (LF)</t>
  </si>
  <si>
    <t xml:space="preserve">Προτεινόμενο μοντέλο </t>
  </si>
  <si>
    <t xml:space="preserve">με λευκό Καπάκι </t>
  </si>
  <si>
    <t>με σκούρο Γκρι Καπάκι</t>
  </si>
  <si>
    <t>Απλή χρήση (ένα σετ)</t>
  </si>
  <si>
    <t>όταν η πόρτα είναι πολύ μεγάλη, χρησιμοποίησε 3ο μηχανισμό, προτεινόμενο μοντέλο</t>
  </si>
  <si>
    <t>Επιλέξτε το κατάλληλο μοντέλο μηχανισμού ανύψωσης Top Stays SF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</si>
  <si>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Μηχανισμοί</t>
  </si>
  <si>
    <t>Μέσος όρος LF</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</si>
  <si>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</si>
  <si>
    <t>Ύψος, σε mm (max. 600мм)</t>
  </si>
  <si>
    <t>Πλάτος, σε mm</t>
  </si>
  <si>
    <t>Βάρος χερουλιού, σε gr</t>
  </si>
  <si>
    <t>συντελεστής δύναμης(LF)</t>
  </si>
  <si>
    <t>Προτεινόμενο μοντέλο</t>
  </si>
  <si>
    <t>με λευκό καπάκι</t>
  </si>
  <si>
    <t>με σκούρο Γκρι καπάκι</t>
  </si>
  <si>
    <t>LF συνετελστής δύναμης και εύρος ύψους πόρτας</t>
  </si>
  <si>
    <t>Βάρος χερουλιού, σε g</t>
  </si>
  <si>
    <t xml:space="preserve">με σκούρο Γκρι Καπάκι </t>
  </si>
  <si>
    <t xml:space="preserve">όταν η πόρτα είναι πολύ μεγάλη, χρησιμοποίησε 3ο μηχανισμό, προτεινόμενο μοντέλο </t>
  </si>
  <si>
    <r>
      <t xml:space="preserve">Επιλέξτε το κατάλληλο μοντέλο μηχανισμού ανύψωσης </t>
    </r>
    <r>
      <rPr>
        <b/>
        <sz val="11"/>
        <color theme="0" tint="-4.9989318521683403E-2"/>
        <rFont val="Calibri"/>
        <family val="2"/>
        <charset val="161"/>
        <scheme val="minor"/>
      </rPr>
      <t xml:space="preserve">Top Stays SQ new push </t>
    </r>
    <r>
      <rPr>
        <sz val="11"/>
        <color theme="0" tint="-4.9989318521683403E-2"/>
        <rFont val="Calibri"/>
        <family val="2"/>
        <charset val="204"/>
        <scheme val="minor"/>
      </rPr>
      <t>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r>
  </si>
  <si>
    <r>
      <t xml:space="preserve">Επιλέξτε το κατάλληλο μοντέλο μηχανισμού ανύψωσης Top </t>
    </r>
    <r>
      <rPr>
        <b/>
        <sz val="11"/>
        <color theme="0" tint="-4.9989318521683403E-2"/>
        <rFont val="Calibri"/>
        <family val="2"/>
        <charset val="161"/>
        <scheme val="minor"/>
      </rPr>
      <t>Stays SQ new</t>
    </r>
    <r>
      <rPr>
        <sz val="11"/>
        <color theme="0" tint="-4.9989318521683403E-2"/>
        <rFont val="Calibri"/>
        <family val="2"/>
        <charset val="204"/>
        <scheme val="minor"/>
      </rPr>
      <t xml:space="preserve">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r>
  </si>
  <si>
    <t>Ύψος, σε mm (max. 500мм)</t>
  </si>
  <si>
    <t xml:space="preserve">Επίλεξε το υλικό της πόρτας από τη λίστακαι υπολόγισε το βάρος πόρτας και τον απαιτούμενοσυντελεστή δύναμης </t>
  </si>
  <si>
    <t>με σκούρο Γκρι καμπάκι</t>
  </si>
  <si>
    <t>Απλή χρήση(ένα σετ)</t>
  </si>
  <si>
    <t xml:space="preserve">όταν η πόρτα είναι πολύ μεγάλη, χρησιμοποίησε τον 3ο μηχανιμό, προτεινόμενο μοντέλο </t>
  </si>
  <si>
    <t>Επιλέξτε το κατάλληλο μοντέλο μηχανισμού ανύψωσης Top Stays SQ old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</si>
  <si>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Μηχανισμός</t>
  </si>
  <si>
    <t>LF συντελεστής δύναμης</t>
  </si>
  <si>
    <t>Ύψος,  σε mm (max. 600мм)</t>
  </si>
  <si>
    <t xml:space="preserve">Επίλεξε το υλικό πόρτας από την παρακάτω λίστα και υπολόγισε το βάρος της πόρτας και τον απαιτούμενο συντελεστή δύναμης. </t>
  </si>
  <si>
    <t>βάτρος πόρτας, in kg</t>
  </si>
  <si>
    <t>ένα σετ</t>
  </si>
  <si>
    <t>δύο σετ</t>
  </si>
  <si>
    <t>4.Επιλέξτε το κατάλληλο μοντέλο μηχανισμού ανύψωσης Top Stays SE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</si>
  <si>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βάρος πόρτας, in kg</t>
  </si>
  <si>
    <t>4.Επιλέξτε το κατάλληλο μοντέλο μηχανισμού ανύψωσης Top Stays SE push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</si>
  <si>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LF εύρος συντελεστή δύναμης</t>
  </si>
  <si>
    <t>Μέσος Όρος LF</t>
  </si>
  <si>
    <t>ύψος πόρτας, σε mm</t>
  </si>
  <si>
    <t>4.Επιλέξτε το κατάλληλο μοντέλο μηχανισμού ανύψωσης Top Stays ST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</si>
  <si>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Λευκό καπάκι</t>
  </si>
  <si>
    <t>Σκούρο γκρι καπάκι</t>
  </si>
  <si>
    <t xml:space="preserve">Μέγεθος πόρτας και βάρος χερουλιού </t>
  </si>
  <si>
    <t>4.Επιλέξτε το κατάλληλο μοντέλο μηχανισμού ανύψωσης Top Stays SK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</si>
  <si>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βάρος πόρτας in kg</t>
  </si>
  <si>
    <t>ύψος πόρτας, in mm</t>
  </si>
  <si>
    <t>Προτεινόμενο μοντέλο με λευκό καπάκι</t>
  </si>
  <si>
    <t>Προτεινόμενο μοντέλο με σκούρο γκρι καπάκι</t>
  </si>
  <si>
    <t>Επιλέξτε το βραχίονα SK που αντιστοιχεί στο ύψος της πόρτας και προσθέστε τον στην παραγγελία. Για καλύτερη απόδοση, εάν η απαιτούμενη τιμή βρίσκεται στην περιοχή επικάλυψης δύο βραχιόνων, προτιμήστε τον κοντύτερο βραχίονα.</t>
  </si>
  <si>
    <t>Βραχίονες</t>
  </si>
  <si>
    <t>Προτεινόμενο μοντέλο βραχίονα</t>
  </si>
  <si>
    <t>lever arm set ТOP STAY SK 300-349</t>
  </si>
  <si>
    <t xml:space="preserve">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			</t>
  </si>
  <si>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</si>
  <si>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t>lever arm set ТOP STAY SK 300-349</t>
    <phoneticPr fontId="14" type="noConversion"/>
  </si>
  <si>
    <t>Suggested lever arm set model</t>
    <phoneticPr fontId="14" type="noConversion"/>
  </si>
  <si>
    <t>lever arms</t>
    <phoneticPr fontId="14" type="noConversion"/>
  </si>
  <si>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</si>
  <si>
    <t>Suggested model in Dark Grey</t>
    <phoneticPr fontId="14" type="noConversion"/>
  </si>
  <si>
    <t>Suggested Model in White</t>
    <phoneticPr fontId="14" type="noConversion"/>
  </si>
  <si>
    <t>Mechanism Reference</t>
    <phoneticPr fontId="14"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</si>
  <si>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</si>
  <si>
    <t xml:space="preserve">Select the door material from the drop-down list and get the door weight    </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</si>
  <si>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</si>
  <si>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</si>
  <si>
    <t xml:space="preserve">Enter the dimensions of the front and the weight of the handle:                 </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</si>
</sst>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b/>
      <sz val="11"/>
      <color theme="0" tint="-4.9989318521683403E-2"/>
      <name val="Calibri"/>
      <family val="2"/>
      <charset val="161"/>
      <scheme val="minor"/>
    </font>
    <font>
      <sz val="9"/>
      <color theme="1"/>
      <name val="Calibri"/>
      <family val="2"/>
      <charset val="161"/>
      <scheme val="minor"/>
    </font>
    <font>
      <b/>
      <sz val="11"/>
      <color theme="0" tint="-4.9989318521683403E-2"/>
      <name val="Calibri"/>
      <family val="3"/>
      <charset val="134"/>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8" fillId="0" borderId="0" applyNumberFormat="0" applyFill="0" applyBorder="0" applyAlignment="0" applyProtection="0"/>
  </cellStyleXfs>
  <cellXfs count="183">
    <xf numFmtId="0" fontId="0" fillId="0" borderId="0" xfId="0"/>
    <xf numFmtId="0" fontId="0" fillId="0" borderId="1" xfId="0" applyBorder="1"/>
    <xf numFmtId="0" fontId="3" fillId="5" borderId="3" xfId="2" applyFont="1" applyFill="1" applyBorder="1" applyAlignment="1" applyProtection="1">
      <alignment horizontal="center" vertical="center"/>
      <protection hidden="1"/>
    </xf>
    <xf numFmtId="0" fontId="3" fillId="5" borderId="8" xfId="2" applyFont="1" applyFill="1" applyBorder="1" applyAlignment="1" applyProtection="1">
      <alignment horizontal="center" vertical="center"/>
      <protection hidden="1"/>
    </xf>
    <xf numFmtId="0" fontId="3" fillId="5" borderId="8" xfId="1" applyFont="1" applyFill="1" applyBorder="1" applyProtection="1">
      <protection hidden="1"/>
    </xf>
    <xf numFmtId="0" fontId="3" fillId="5" borderId="1" xfId="1" applyFont="1" applyFill="1" applyBorder="1" applyAlignment="1" applyProtection="1">
      <alignment horizontal="center"/>
      <protection hidden="1"/>
    </xf>
    <xf numFmtId="0" fontId="3" fillId="5" borderId="11" xfId="1" applyFont="1" applyFill="1" applyBorder="1" applyAlignment="1" applyProtection="1">
      <alignment horizontal="center"/>
      <protection hidden="1"/>
    </xf>
    <xf numFmtId="0" fontId="3" fillId="5" borderId="18" xfId="2" applyFont="1" applyFill="1" applyBorder="1" applyAlignment="1" applyProtection="1">
      <alignment horizontal="center" vertical="center"/>
      <protection hidden="1"/>
    </xf>
    <xf numFmtId="0" fontId="3" fillId="5" borderId="2" xfId="2" applyFont="1" applyFill="1" applyBorder="1" applyAlignment="1" applyProtection="1">
      <alignment horizontal="center" vertical="center"/>
      <protection hidden="1"/>
    </xf>
    <xf numFmtId="0" fontId="3" fillId="0" borderId="10" xfId="1" applyFont="1" applyFill="1" applyBorder="1" applyAlignment="1" applyProtection="1">
      <alignment horizontal="center" vertical="center"/>
      <protection locked="0" hidden="1"/>
    </xf>
    <xf numFmtId="0" fontId="3" fillId="0" borderId="11" xfId="1" applyFont="1" applyFill="1" applyBorder="1" applyAlignment="1" applyProtection="1">
      <alignment horizontal="center" vertical="center"/>
      <protection locked="0" hidden="1"/>
    </xf>
    <xf numFmtId="0" fontId="3"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4" fillId="5" borderId="1" xfId="1" applyFont="1" applyFill="1" applyBorder="1" applyAlignment="1" applyProtection="1">
      <alignment horizontal="center"/>
      <protection hidden="1"/>
    </xf>
    <xf numFmtId="2" fontId="3" fillId="5" borderId="11" xfId="0" applyNumberFormat="1" applyFont="1" applyFill="1" applyBorder="1" applyAlignment="1" applyProtection="1">
      <alignment horizontal="center" vertical="center"/>
      <protection hidden="1"/>
    </xf>
    <xf numFmtId="0" fontId="3" fillId="5" borderId="8" xfId="1" applyFont="1" applyFill="1" applyBorder="1" applyAlignment="1" applyProtection="1">
      <alignment horizontal="left" vertical="center"/>
      <protection hidden="1"/>
    </xf>
    <xf numFmtId="0" fontId="3" fillId="5" borderId="10" xfId="1" applyFont="1" applyFill="1" applyBorder="1" applyAlignment="1" applyProtection="1">
      <alignment horizontal="left" vertical="center"/>
      <protection hidden="1"/>
    </xf>
    <xf numFmtId="2" fontId="4" fillId="5" borderId="11" xfId="0" applyNumberFormat="1" applyFont="1" applyFill="1" applyBorder="1" applyAlignment="1" applyProtection="1">
      <alignment horizontal="center" vertical="center"/>
      <protection hidden="1"/>
    </xf>
    <xf numFmtId="0" fontId="3" fillId="5" borderId="13" xfId="1" applyFont="1" applyFill="1" applyBorder="1" applyAlignment="1" applyProtection="1">
      <alignment horizontal="left" vertical="center"/>
      <protection hidden="1"/>
    </xf>
    <xf numFmtId="0" fontId="4" fillId="5" borderId="19" xfId="2" applyFont="1" applyFill="1" applyBorder="1" applyAlignment="1" applyProtection="1">
      <alignment horizontal="center" vertical="center"/>
      <protection hidden="1"/>
    </xf>
    <xf numFmtId="0" fontId="15" fillId="5" borderId="19" xfId="2" applyFont="1" applyFill="1" applyBorder="1" applyAlignment="1" applyProtection="1">
      <alignment horizontal="center" vertical="center"/>
      <protection hidden="1"/>
    </xf>
    <xf numFmtId="0" fontId="0" fillId="0" borderId="0" xfId="0" applyAlignment="1">
      <alignment vertical="center" wrapText="1"/>
    </xf>
    <xf numFmtId="0" fontId="16" fillId="5" borderId="18" xfId="2" applyFont="1" applyFill="1" applyBorder="1" applyAlignment="1" applyProtection="1">
      <alignment horizontal="center" vertical="center"/>
      <protection hidden="1"/>
    </xf>
    <xf numFmtId="0" fontId="16" fillId="5" borderId="2" xfId="2" applyFont="1" applyFill="1" applyBorder="1" applyAlignment="1" applyProtection="1">
      <alignment horizontal="center" vertical="center"/>
      <protection hidden="1"/>
    </xf>
    <xf numFmtId="0" fontId="17" fillId="5" borderId="3" xfId="2" applyFont="1" applyFill="1" applyBorder="1" applyAlignment="1" applyProtection="1">
      <alignment horizontal="center" vertical="center"/>
      <protection hidden="1"/>
    </xf>
    <xf numFmtId="0" fontId="16" fillId="5" borderId="3" xfId="2" applyFont="1" applyFill="1" applyBorder="1" applyAlignment="1" applyProtection="1">
      <alignment horizontal="center" vertical="center"/>
      <protection hidden="1"/>
    </xf>
    <xf numFmtId="0" fontId="16" fillId="5" borderId="8" xfId="2" applyFont="1" applyFill="1" applyBorder="1" applyAlignment="1" applyProtection="1">
      <alignment horizontal="center" vertical="center"/>
      <protection hidden="1"/>
    </xf>
    <xf numFmtId="0" fontId="16"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0" fillId="4" borderId="1" xfId="1" applyFont="1" applyFill="1" applyBorder="1" applyAlignment="1" applyProtection="1">
      <alignment horizontal="center" vertical="center" wrapText="1"/>
      <protection hidden="1"/>
    </xf>
    <xf numFmtId="2" fontId="3" fillId="5" borderId="3" xfId="0" applyNumberFormat="1" applyFont="1" applyFill="1" applyBorder="1" applyAlignment="1" applyProtection="1">
      <alignment horizontal="center" vertical="center"/>
      <protection hidden="1"/>
    </xf>
    <xf numFmtId="0" fontId="20" fillId="4" borderId="38" xfId="1" applyFont="1" applyFill="1" applyBorder="1" applyAlignment="1" applyProtection="1">
      <alignment horizontal="center" vertical="center" wrapText="1"/>
      <protection hidden="1"/>
    </xf>
    <xf numFmtId="0" fontId="20"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5" fillId="0" borderId="0" xfId="2" applyFont="1" applyFill="1" applyBorder="1" applyAlignment="1" applyProtection="1">
      <alignment horizontal="center" vertical="center"/>
      <protection hidden="1"/>
    </xf>
    <xf numFmtId="0" fontId="19" fillId="0" borderId="0" xfId="0" applyFont="1" applyAlignment="1">
      <alignment vertical="center" wrapText="1"/>
    </xf>
    <xf numFmtId="0" fontId="19" fillId="0" borderId="0" xfId="0" applyFont="1"/>
    <xf numFmtId="0" fontId="25" fillId="0" borderId="0" xfId="2" applyFont="1" applyFill="1" applyBorder="1" applyAlignment="1" applyProtection="1">
      <alignment horizontal="center" vertical="center" wrapText="1"/>
      <protection hidden="1"/>
    </xf>
    <xf numFmtId="2" fontId="16" fillId="8" borderId="38" xfId="0" applyNumberFormat="1" applyFont="1" applyFill="1" applyBorder="1" applyAlignment="1" applyProtection="1">
      <alignment horizontal="center" vertical="center"/>
      <protection hidden="1"/>
    </xf>
    <xf numFmtId="0" fontId="23" fillId="8" borderId="1" xfId="0" applyFont="1" applyFill="1" applyBorder="1" applyAlignment="1">
      <alignment horizontal="center" vertical="center" wrapText="1"/>
    </xf>
    <xf numFmtId="0" fontId="21" fillId="8" borderId="11" xfId="0" applyFont="1" applyFill="1" applyBorder="1" applyAlignment="1">
      <alignment horizontal="center" vertical="center" wrapText="1"/>
    </xf>
    <xf numFmtId="0" fontId="23" fillId="8" borderId="11" xfId="0" applyFont="1" applyFill="1" applyBorder="1" applyAlignment="1">
      <alignment horizontal="center" vertical="center" wrapText="1"/>
    </xf>
    <xf numFmtId="0" fontId="20" fillId="7" borderId="25" xfId="0" applyFont="1" applyFill="1" applyBorder="1" applyAlignment="1">
      <alignment horizontal="center" vertical="center"/>
    </xf>
    <xf numFmtId="0" fontId="20" fillId="7" borderId="30" xfId="0" applyFont="1" applyFill="1" applyBorder="1" applyAlignment="1">
      <alignment horizontal="center" vertical="center"/>
    </xf>
    <xf numFmtId="0" fontId="21" fillId="0" borderId="0" xfId="0" applyFont="1" applyAlignment="1">
      <alignment horizontal="center" vertical="center"/>
    </xf>
    <xf numFmtId="0" fontId="20" fillId="0" borderId="0" xfId="0" applyFont="1" applyAlignment="1">
      <alignment horizontal="center" vertical="center"/>
    </xf>
    <xf numFmtId="0" fontId="20" fillId="7" borderId="44" xfId="0" applyFont="1" applyFill="1" applyBorder="1" applyAlignment="1">
      <alignment horizontal="center" vertical="center" wrapText="1"/>
    </xf>
    <xf numFmtId="0" fontId="21" fillId="6" borderId="37" xfId="0" applyFont="1" applyFill="1" applyBorder="1" applyAlignment="1">
      <alignment horizontal="center" vertical="center" wrapText="1"/>
    </xf>
    <xf numFmtId="0" fontId="21" fillId="6" borderId="22" xfId="0" applyFont="1" applyFill="1" applyBorder="1" applyAlignment="1">
      <alignment horizontal="center" vertical="center"/>
    </xf>
    <xf numFmtId="0" fontId="21" fillId="6" borderId="23" xfId="0" applyFont="1" applyFill="1" applyBorder="1" applyAlignment="1">
      <alignment horizontal="center" vertical="center"/>
    </xf>
    <xf numFmtId="0" fontId="3" fillId="5" borderId="1" xfId="2" applyFont="1" applyFill="1" applyBorder="1" applyAlignment="1" applyProtection="1">
      <alignment horizontal="center" vertical="center"/>
      <protection hidden="1"/>
    </xf>
    <xf numFmtId="2" fontId="4" fillId="5" borderId="3" xfId="0" applyNumberFormat="1" applyFont="1" applyFill="1" applyBorder="1" applyAlignment="1" applyProtection="1">
      <alignment horizontal="center" vertical="center"/>
      <protection hidden="1"/>
    </xf>
    <xf numFmtId="0" fontId="26" fillId="0" borderId="0" xfId="0" applyFont="1" applyAlignment="1">
      <alignment horizontal="center" vertical="center"/>
    </xf>
    <xf numFmtId="0" fontId="3" fillId="5" borderId="1" xfId="2" applyFont="1" applyFill="1" applyBorder="1" applyAlignment="1" applyProtection="1">
      <alignment horizontal="left" vertical="center"/>
      <protection hidden="1"/>
    </xf>
    <xf numFmtId="0" fontId="27" fillId="9" borderId="1" xfId="0" applyFont="1" applyFill="1" applyBorder="1" applyAlignment="1">
      <alignment horizontal="center" vertical="center" wrapText="1"/>
    </xf>
    <xf numFmtId="0" fontId="28" fillId="7" borderId="9" xfId="0" applyFont="1" applyFill="1" applyBorder="1" applyAlignment="1">
      <alignment horizontal="center" vertical="center" wrapText="1"/>
    </xf>
    <xf numFmtId="0" fontId="20" fillId="0" borderId="0" xfId="0" applyFont="1" applyAlignment="1">
      <alignment horizontal="center" vertical="center" wrapText="1"/>
    </xf>
    <xf numFmtId="0" fontId="3" fillId="5" borderId="1" xfId="1" applyFont="1" applyFill="1" applyBorder="1" applyAlignment="1" applyProtection="1">
      <alignment horizontal="left" vertical="center"/>
      <protection hidden="1"/>
    </xf>
    <xf numFmtId="0" fontId="21" fillId="9" borderId="1" xfId="0" applyFont="1" applyFill="1" applyBorder="1" applyAlignment="1">
      <alignment horizontal="center" vertical="center"/>
    </xf>
    <xf numFmtId="0" fontId="20" fillId="7" borderId="9" xfId="0" applyFont="1" applyFill="1" applyBorder="1" applyAlignment="1">
      <alignment horizontal="center" vertical="center"/>
    </xf>
    <xf numFmtId="0" fontId="0" fillId="0" borderId="0" xfId="0" applyProtection="1">
      <protection locked="0" hidden="1"/>
    </xf>
    <xf numFmtId="0" fontId="3" fillId="5" borderId="3" xfId="1" applyFont="1" applyFill="1" applyBorder="1" applyAlignment="1" applyProtection="1">
      <alignment horizontal="left" vertical="center"/>
      <protection hidden="1"/>
    </xf>
    <xf numFmtId="0" fontId="4" fillId="5" borderId="3" xfId="1" applyFont="1" applyFill="1" applyBorder="1" applyAlignment="1" applyProtection="1">
      <alignment horizontal="center"/>
      <protection hidden="1"/>
    </xf>
    <xf numFmtId="0" fontId="21" fillId="9" borderId="3" xfId="0" applyFont="1" applyFill="1" applyBorder="1" applyAlignment="1">
      <alignment horizontal="center" vertical="center"/>
    </xf>
    <xf numFmtId="0" fontId="20" fillId="7" borderId="46"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0" fontId="16" fillId="0" borderId="3" xfId="1" applyFont="1" applyFill="1" applyBorder="1" applyAlignment="1" applyProtection="1">
      <alignment horizontal="center" vertical="center"/>
      <protection locked="0" hidden="1"/>
    </xf>
    <xf numFmtId="0" fontId="16" fillId="5" borderId="1" xfId="2" applyFont="1" applyFill="1" applyBorder="1" applyAlignment="1" applyProtection="1">
      <alignment horizontal="center" vertical="center" wrapText="1"/>
      <protection hidden="1"/>
    </xf>
    <xf numFmtId="0" fontId="22" fillId="7" borderId="11" xfId="0" applyFont="1" applyFill="1" applyBorder="1" applyAlignment="1">
      <alignment horizontal="center" vertical="center"/>
    </xf>
    <xf numFmtId="0" fontId="22" fillId="7" borderId="12" xfId="0" applyFont="1" applyFill="1" applyBorder="1" applyAlignment="1">
      <alignment horizontal="center" vertical="center"/>
    </xf>
    <xf numFmtId="0" fontId="24" fillId="7" borderId="38" xfId="0" applyFont="1" applyFill="1" applyBorder="1" applyAlignment="1">
      <alignment horizontal="center" vertical="center"/>
    </xf>
    <xf numFmtId="0" fontId="24" fillId="7" borderId="39" xfId="0" applyFont="1" applyFill="1" applyBorder="1" applyAlignment="1">
      <alignment horizontal="center" vertical="center"/>
    </xf>
    <xf numFmtId="0" fontId="24" fillId="7" borderId="1" xfId="0" applyFont="1" applyFill="1" applyBorder="1" applyAlignment="1">
      <alignment horizontal="center" vertical="center"/>
    </xf>
    <xf numFmtId="0" fontId="24" fillId="7" borderId="9" xfId="0" applyFont="1" applyFill="1" applyBorder="1" applyAlignment="1">
      <alignment horizontal="center" vertical="center"/>
    </xf>
    <xf numFmtId="0" fontId="6" fillId="4" borderId="36" xfId="1" applyFont="1" applyFill="1" applyBorder="1" applyAlignment="1" applyProtection="1">
      <alignment horizontal="center" vertical="center"/>
      <protection hidden="1"/>
    </xf>
    <xf numFmtId="0" fontId="6" fillId="4" borderId="35" xfId="1" applyFont="1" applyFill="1" applyBorder="1" applyAlignment="1" applyProtection="1">
      <alignment horizontal="center" vertical="center"/>
      <protection hidden="1"/>
    </xf>
    <xf numFmtId="0" fontId="6" fillId="4" borderId="15" xfId="1" applyFont="1" applyFill="1" applyBorder="1" applyAlignment="1" applyProtection="1">
      <alignment horizontal="center" vertical="center"/>
      <protection hidden="1"/>
    </xf>
    <xf numFmtId="0" fontId="8"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4" fillId="5" borderId="1" xfId="1" applyFont="1" applyFill="1" applyBorder="1" applyAlignment="1" applyProtection="1">
      <alignment horizontal="center"/>
      <protection hidden="1"/>
    </xf>
    <xf numFmtId="0" fontId="4" fillId="5" borderId="9" xfId="1" applyFont="1" applyFill="1" applyBorder="1" applyAlignment="1" applyProtection="1">
      <alignment horizontal="center"/>
      <protection hidden="1"/>
    </xf>
    <xf numFmtId="0" fontId="12" fillId="0" borderId="26" xfId="0" applyFont="1" applyBorder="1" applyAlignment="1" applyProtection="1">
      <alignment horizontal="left" vertical="center"/>
      <protection hidden="1"/>
    </xf>
    <xf numFmtId="0" fontId="9" fillId="0" borderId="27" xfId="0" applyFont="1" applyBorder="1" applyAlignment="1" applyProtection="1">
      <alignment horizontal="left" vertical="center"/>
      <protection hidden="1"/>
    </xf>
    <xf numFmtId="0" fontId="9" fillId="0" borderId="24" xfId="0" applyFont="1" applyBorder="1" applyAlignment="1" applyProtection="1">
      <alignment horizontal="left" vertical="center"/>
      <protection hidden="1"/>
    </xf>
    <xf numFmtId="0" fontId="9" fillId="0" borderId="28" xfId="0" applyFont="1" applyBorder="1" applyAlignment="1" applyProtection="1">
      <alignment horizontal="left" vertical="center"/>
      <protection hidden="1"/>
    </xf>
    <xf numFmtId="0" fontId="9" fillId="0" borderId="0" xfId="0" applyFont="1" applyAlignment="1" applyProtection="1">
      <alignment horizontal="left" vertical="center"/>
      <protection hidden="1"/>
    </xf>
    <xf numFmtId="0" fontId="9" fillId="0" borderId="25" xfId="0" applyFont="1" applyBorder="1" applyAlignment="1" applyProtection="1">
      <alignment horizontal="left" vertical="center"/>
      <protection hidden="1"/>
    </xf>
    <xf numFmtId="0" fontId="9" fillId="0" borderId="29" xfId="0" applyFont="1" applyBorder="1" applyAlignment="1" applyProtection="1">
      <alignment horizontal="left" vertical="center"/>
      <protection hidden="1"/>
    </xf>
    <xf numFmtId="0" fontId="9" fillId="0" borderId="20" xfId="0" applyFont="1" applyBorder="1" applyAlignment="1" applyProtection="1">
      <alignment horizontal="left" vertical="center"/>
      <protection hidden="1"/>
    </xf>
    <xf numFmtId="0" fontId="9" fillId="0" borderId="30" xfId="0" applyFont="1" applyBorder="1" applyAlignment="1" applyProtection="1">
      <alignment horizontal="left" vertical="center"/>
      <protection hidden="1"/>
    </xf>
    <xf numFmtId="0" fontId="6" fillId="4" borderId="21" xfId="1" applyFont="1" applyFill="1" applyBorder="1" applyAlignment="1" applyProtection="1">
      <alignment horizontal="center" vertical="center"/>
      <protection hidden="1"/>
    </xf>
    <xf numFmtId="0" fontId="6" fillId="4" borderId="22" xfId="1" applyFont="1" applyFill="1" applyBorder="1" applyAlignment="1" applyProtection="1">
      <alignment horizontal="center" vertical="center"/>
      <protection hidden="1"/>
    </xf>
    <xf numFmtId="0" fontId="6" fillId="4" borderId="23" xfId="1" applyFont="1" applyFill="1" applyBorder="1" applyAlignment="1" applyProtection="1">
      <alignment horizontal="center" vertical="center"/>
      <protection hidden="1"/>
    </xf>
    <xf numFmtId="0" fontId="5" fillId="4" borderId="5" xfId="1" applyFont="1" applyFill="1" applyBorder="1" applyAlignment="1" applyProtection="1">
      <alignment horizontal="center" vertical="center"/>
      <protection hidden="1"/>
    </xf>
    <xf numFmtId="0" fontId="5" fillId="4" borderId="6" xfId="1" applyFont="1" applyFill="1" applyBorder="1" applyAlignment="1" applyProtection="1">
      <alignment horizontal="center" vertical="center"/>
      <protection hidden="1"/>
    </xf>
    <xf numFmtId="0" fontId="5" fillId="4" borderId="7" xfId="1" applyFont="1" applyFill="1" applyBorder="1" applyAlignment="1" applyProtection="1">
      <alignment horizontal="center" vertical="center"/>
      <protection hidden="1"/>
    </xf>
    <xf numFmtId="0" fontId="1" fillId="4" borderId="13" xfId="1" applyFill="1" applyBorder="1" applyAlignment="1" applyProtection="1">
      <alignment horizontal="center"/>
      <protection hidden="1"/>
    </xf>
    <xf numFmtId="0" fontId="1" fillId="4" borderId="15" xfId="1" applyFill="1" applyBorder="1" applyAlignment="1" applyProtection="1">
      <alignment horizontal="center"/>
      <protection hidden="1"/>
    </xf>
    <xf numFmtId="0" fontId="16" fillId="5" borderId="4" xfId="2" applyFont="1" applyFill="1" applyBorder="1" applyAlignment="1" applyProtection="1">
      <alignment horizontal="center" vertical="center"/>
      <protection hidden="1"/>
    </xf>
    <xf numFmtId="0" fontId="16" fillId="5" borderId="14" xfId="2" applyFont="1" applyFill="1" applyBorder="1" applyAlignment="1" applyProtection="1">
      <alignment horizontal="center" vertical="center"/>
      <protection hidden="1"/>
    </xf>
    <xf numFmtId="1" fontId="17" fillId="5" borderId="16" xfId="0" applyNumberFormat="1" applyFont="1" applyFill="1" applyBorder="1" applyAlignment="1" applyProtection="1">
      <alignment horizontal="center" vertical="center"/>
      <protection hidden="1"/>
    </xf>
    <xf numFmtId="1" fontId="17"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7" fillId="5" borderId="0" xfId="2" applyFont="1" applyFill="1" applyBorder="1" applyAlignment="1" applyProtection="1">
      <alignment horizontal="center" vertical="center"/>
      <protection hidden="1"/>
    </xf>
    <xf numFmtId="0" fontId="7" fillId="5" borderId="20" xfId="2"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protection hidden="1"/>
    </xf>
    <xf numFmtId="0" fontId="5" fillId="4" borderId="32" xfId="1" applyFont="1" applyFill="1" applyBorder="1" applyAlignment="1" applyProtection="1">
      <alignment horizontal="center" vertical="center"/>
      <protection hidden="1"/>
    </xf>
    <xf numFmtId="0" fontId="5" fillId="4" borderId="33" xfId="1"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wrapText="1"/>
      <protection hidden="1"/>
    </xf>
    <xf numFmtId="0" fontId="5" fillId="4" borderId="32" xfId="1" applyFont="1" applyFill="1" applyBorder="1" applyAlignment="1" applyProtection="1">
      <alignment horizontal="center" vertical="center" wrapText="1"/>
      <protection hidden="1"/>
    </xf>
    <xf numFmtId="0" fontId="5" fillId="4" borderId="33" xfId="1" applyFont="1" applyFill="1" applyBorder="1" applyAlignment="1" applyProtection="1">
      <alignment horizontal="center" vertical="center" wrapText="1"/>
      <protection hidden="1"/>
    </xf>
    <xf numFmtId="0" fontId="16" fillId="5" borderId="1" xfId="2" applyFont="1" applyFill="1" applyBorder="1" applyAlignment="1" applyProtection="1">
      <alignment horizontal="center" vertical="center"/>
      <protection hidden="1"/>
    </xf>
    <xf numFmtId="0" fontId="16" fillId="5" borderId="9" xfId="2" applyFont="1" applyFill="1" applyBorder="1" applyAlignment="1" applyProtection="1">
      <alignment horizontal="center" vertical="center"/>
      <protection hidden="1"/>
    </xf>
    <xf numFmtId="0" fontId="4" fillId="5" borderId="11" xfId="1" applyFont="1" applyFill="1" applyBorder="1" applyAlignment="1" applyProtection="1">
      <alignment horizontal="center"/>
      <protection hidden="1"/>
    </xf>
    <xf numFmtId="0" fontId="4" fillId="5" borderId="12" xfId="1" applyFont="1" applyFill="1" applyBorder="1" applyAlignment="1" applyProtection="1">
      <alignment horizontal="center"/>
      <protection hidden="1"/>
    </xf>
    <xf numFmtId="0" fontId="5" fillId="4" borderId="5" xfId="1" applyFont="1" applyFill="1" applyBorder="1" applyAlignment="1" applyProtection="1">
      <alignment horizontal="center" vertical="center" wrapText="1"/>
      <protection hidden="1"/>
    </xf>
    <xf numFmtId="0" fontId="5" fillId="4" borderId="6" xfId="1" applyFont="1" applyFill="1" applyBorder="1" applyAlignment="1" applyProtection="1">
      <alignment horizontal="center" vertical="center" wrapText="1"/>
      <protection hidden="1"/>
    </xf>
    <xf numFmtId="0" fontId="5" fillId="4" borderId="7" xfId="1" applyFont="1" applyFill="1" applyBorder="1" applyAlignment="1" applyProtection="1">
      <alignment horizontal="center" vertical="center" wrapText="1"/>
      <protection hidden="1"/>
    </xf>
    <xf numFmtId="0" fontId="9" fillId="0" borderId="26" xfId="0" applyFont="1" applyBorder="1" applyAlignment="1" applyProtection="1">
      <alignment horizontal="left" vertical="center"/>
      <protection hidden="1"/>
    </xf>
    <xf numFmtId="1" fontId="4" fillId="5" borderId="16" xfId="0" applyNumberFormat="1" applyFont="1" applyFill="1" applyBorder="1" applyAlignment="1" applyProtection="1">
      <alignment horizontal="center" vertical="center"/>
      <protection hidden="1"/>
    </xf>
    <xf numFmtId="1" fontId="4" fillId="5" borderId="17" xfId="0" applyNumberFormat="1" applyFont="1" applyFill="1" applyBorder="1" applyAlignment="1" applyProtection="1">
      <alignment horizontal="center" vertical="center"/>
      <protection hidden="1"/>
    </xf>
    <xf numFmtId="0" fontId="20" fillId="4" borderId="41" xfId="1" applyFont="1" applyFill="1" applyBorder="1" applyAlignment="1" applyProtection="1">
      <alignment horizontal="center" vertical="center" wrapText="1"/>
      <protection hidden="1"/>
    </xf>
    <xf numFmtId="0" fontId="20" fillId="4" borderId="42" xfId="1" applyFont="1" applyFill="1" applyBorder="1" applyAlignment="1" applyProtection="1">
      <alignment horizontal="center" vertical="center" wrapText="1"/>
      <protection hidden="1"/>
    </xf>
    <xf numFmtId="2" fontId="16" fillId="8" borderId="38" xfId="0" applyNumberFormat="1" applyFont="1" applyFill="1" applyBorder="1" applyAlignment="1" applyProtection="1">
      <alignment horizontal="center" vertical="center"/>
      <protection hidden="1"/>
    </xf>
    <xf numFmtId="2" fontId="16" fillId="8" borderId="39" xfId="0" applyNumberFormat="1" applyFont="1" applyFill="1" applyBorder="1" applyAlignment="1" applyProtection="1">
      <alignment horizontal="center" vertical="center"/>
      <protection hidden="1"/>
    </xf>
    <xf numFmtId="0" fontId="23" fillId="8" borderId="16" xfId="0" applyFont="1" applyFill="1" applyBorder="1" applyAlignment="1">
      <alignment horizontal="center" vertical="center" wrapText="1"/>
    </xf>
    <xf numFmtId="0" fontId="23" fillId="8" borderId="17" xfId="0" applyFont="1" applyFill="1" applyBorder="1" applyAlignment="1">
      <alignment horizontal="center" vertical="center" wrapText="1"/>
    </xf>
    <xf numFmtId="0" fontId="1" fillId="4" borderId="35" xfId="1" applyFill="1" applyBorder="1" applyAlignment="1" applyProtection="1">
      <alignment horizontal="center"/>
      <protection hidden="1"/>
    </xf>
    <xf numFmtId="0" fontId="4" fillId="5" borderId="4" xfId="2" applyFont="1" applyFill="1" applyBorder="1" applyAlignment="1" applyProtection="1">
      <alignment horizontal="center" vertical="center"/>
      <protection hidden="1"/>
    </xf>
    <xf numFmtId="0" fontId="4" fillId="5" borderId="14" xfId="2" applyFont="1" applyFill="1" applyBorder="1" applyAlignment="1" applyProtection="1">
      <alignment horizontal="center" vertical="center"/>
      <protection hidden="1"/>
    </xf>
    <xf numFmtId="1" fontId="4" fillId="5" borderId="4" xfId="0" applyNumberFormat="1" applyFont="1" applyFill="1" applyBorder="1" applyAlignment="1" applyProtection="1">
      <alignment horizontal="center" vertical="center"/>
      <protection hidden="1"/>
    </xf>
    <xf numFmtId="1" fontId="4" fillId="5" borderId="14" xfId="0" applyNumberFormat="1" applyFont="1" applyFill="1" applyBorder="1" applyAlignment="1" applyProtection="1">
      <alignment horizontal="center" vertical="center"/>
      <protection hidden="1"/>
    </xf>
    <xf numFmtId="0" fontId="26" fillId="0" borderId="43" xfId="0" applyFont="1" applyBorder="1" applyAlignment="1">
      <alignment horizontal="center" vertical="center" wrapText="1"/>
    </xf>
    <xf numFmtId="0" fontId="26" fillId="0" borderId="44" xfId="0" applyFont="1" applyBorder="1" applyAlignment="1">
      <alignment horizontal="center" vertical="center" wrapText="1"/>
    </xf>
    <xf numFmtId="0" fontId="6" fillId="4" borderId="28"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wrapText="1"/>
      <protection hidden="1"/>
    </xf>
    <xf numFmtId="0" fontId="5" fillId="4" borderId="39" xfId="1" applyFont="1" applyFill="1" applyBorder="1" applyAlignment="1" applyProtection="1">
      <alignment horizontal="center" vertical="center" wrapText="1"/>
      <protection hidden="1"/>
    </xf>
    <xf numFmtId="0" fontId="6" fillId="4" borderId="45" xfId="1" applyFont="1" applyFill="1" applyBorder="1" applyAlignment="1" applyProtection="1">
      <alignment horizontal="center" vertical="center"/>
      <protection hidden="1"/>
    </xf>
    <xf numFmtId="0" fontId="6" fillId="4" borderId="8" xfId="1" applyFont="1" applyFill="1" applyBorder="1" applyAlignment="1" applyProtection="1">
      <alignment horizontal="center" vertical="center"/>
      <protection hidden="1"/>
    </xf>
    <xf numFmtId="0" fontId="6" fillId="4" borderId="13"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protection hidden="1"/>
    </xf>
    <xf numFmtId="0" fontId="5" fillId="4" borderId="39" xfId="1" applyFont="1" applyFill="1" applyBorder="1" applyAlignment="1" applyProtection="1">
      <alignment horizontal="center" vertical="center"/>
      <protection hidden="1"/>
    </xf>
    <xf numFmtId="0" fontId="1" fillId="4" borderId="1" xfId="1" applyFill="1" applyBorder="1" applyAlignment="1" applyProtection="1">
      <alignment horizontal="center"/>
      <protection hidden="1"/>
    </xf>
    <xf numFmtId="0" fontId="1" fillId="4" borderId="3" xfId="1" applyFill="1" applyBorder="1" applyAlignment="1" applyProtection="1">
      <alignment horizontal="center"/>
      <protection hidden="1"/>
    </xf>
    <xf numFmtId="0" fontId="3" fillId="5" borderId="1" xfId="2" applyFont="1" applyFill="1" applyBorder="1" applyAlignment="1" applyProtection="1">
      <alignment horizontal="center" vertical="center"/>
      <protection hidden="1"/>
    </xf>
    <xf numFmtId="0" fontId="3" fillId="5" borderId="9" xfId="2" applyFont="1" applyFill="1" applyBorder="1" applyAlignment="1" applyProtection="1">
      <alignment horizontal="center" vertical="center"/>
      <protection hidden="1"/>
    </xf>
    <xf numFmtId="0" fontId="3" fillId="5" borderId="3" xfId="2" applyFont="1" applyFill="1" applyBorder="1" applyAlignment="1" applyProtection="1">
      <alignment horizontal="center" vertical="center"/>
      <protection hidden="1"/>
    </xf>
    <xf numFmtId="0" fontId="3" fillId="5" borderId="46" xfId="2" applyFont="1" applyFill="1" applyBorder="1" applyAlignment="1" applyProtection="1">
      <alignment horizontal="center" vertical="center"/>
      <protection hidden="1"/>
    </xf>
    <xf numFmtId="1" fontId="4" fillId="5" borderId="3" xfId="0" applyNumberFormat="1" applyFont="1" applyFill="1" applyBorder="1" applyAlignment="1" applyProtection="1">
      <alignment horizontal="center" vertical="center"/>
      <protection hidden="1"/>
    </xf>
    <xf numFmtId="0" fontId="7" fillId="5" borderId="1" xfId="2" applyFont="1" applyFill="1" applyBorder="1" applyAlignment="1" applyProtection="1">
      <alignment horizontal="center" vertical="center"/>
      <protection hidden="1"/>
    </xf>
    <xf numFmtId="0" fontId="7"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31" fillId="0" borderId="27" xfId="0" applyFont="1" applyBorder="1" applyAlignment="1">
      <alignment horizontal="left" wrapText="1"/>
    </xf>
    <xf numFmtId="0" fontId="0" fillId="0" borderId="27" xfId="0" applyBorder="1" applyAlignment="1">
      <alignment horizontal="left" wrapText="1"/>
    </xf>
    <xf numFmtId="0" fontId="4" fillId="5" borderId="3" xfId="1" applyFont="1" applyFill="1" applyBorder="1" applyAlignment="1" applyProtection="1">
      <alignment horizontal="center"/>
      <protection hidden="1"/>
    </xf>
    <xf numFmtId="0" fontId="29" fillId="10" borderId="47" xfId="1" applyFont="1" applyFill="1" applyBorder="1" applyAlignment="1" applyProtection="1">
      <alignment horizontal="center" vertical="center" wrapText="1"/>
      <protection hidden="1"/>
    </xf>
    <xf numFmtId="0" fontId="5" fillId="10" borderId="34" xfId="1" applyFont="1" applyFill="1" applyBorder="1" applyAlignment="1" applyProtection="1">
      <alignment horizontal="center" vertical="center" wrapText="1"/>
      <protection hidden="1"/>
    </xf>
    <xf numFmtId="0" fontId="29" fillId="10" borderId="48" xfId="1" applyFont="1" applyFill="1" applyBorder="1" applyAlignment="1" applyProtection="1">
      <alignment horizontal="center" vertical="center" wrapText="1"/>
      <protection hidden="1"/>
    </xf>
    <xf numFmtId="0" fontId="3" fillId="5" borderId="47" xfId="1" applyFont="1" applyFill="1" applyBorder="1" applyAlignment="1" applyProtection="1">
      <alignment horizontal="center" vertical="center"/>
      <protection hidden="1"/>
    </xf>
    <xf numFmtId="0" fontId="3" fillId="5" borderId="34" xfId="1" applyFont="1" applyFill="1" applyBorder="1" applyAlignment="1" applyProtection="1">
      <alignment horizontal="center" vertical="center"/>
      <protection hidden="1"/>
    </xf>
    <xf numFmtId="0" fontId="3" fillId="5" borderId="16" xfId="1" applyFont="1" applyFill="1" applyBorder="1" applyAlignment="1" applyProtection="1">
      <alignment horizontal="center" vertical="center"/>
      <protection hidden="1"/>
    </xf>
    <xf numFmtId="0" fontId="3" fillId="5" borderId="49" xfId="1" applyFont="1" applyFill="1" applyBorder="1" applyAlignment="1" applyProtection="1">
      <alignment horizontal="center" vertical="center"/>
      <protection hidden="1"/>
    </xf>
    <xf numFmtId="0" fontId="8" fillId="0" borderId="28" xfId="3" applyBorder="1" applyAlignment="1" applyProtection="1">
      <alignment horizontal="center" vertical="center"/>
      <protection hidden="1"/>
    </xf>
    <xf numFmtId="0" fontId="8" fillId="0" borderId="0" xfId="3" applyBorder="1" applyAlignment="1" applyProtection="1">
      <alignment horizontal="center" vertical="center"/>
      <protection hidden="1"/>
    </xf>
    <xf numFmtId="0" fontId="8" fillId="0" borderId="25" xfId="3" applyBorder="1" applyAlignment="1" applyProtection="1">
      <alignment horizontal="center" vertical="center"/>
      <protection hidden="1"/>
    </xf>
    <xf numFmtId="0" fontId="8" fillId="0" borderId="29" xfId="3" applyBorder="1" applyAlignment="1" applyProtection="1">
      <alignment horizontal="center" vertical="center"/>
      <protection hidden="1"/>
    </xf>
    <xf numFmtId="0" fontId="8" fillId="0" borderId="20" xfId="3" applyBorder="1" applyAlignment="1" applyProtection="1">
      <alignment horizontal="center" vertical="center"/>
      <protection hidden="1"/>
    </xf>
    <xf numFmtId="0" fontId="8" fillId="0" borderId="30" xfId="3" applyBorder="1" applyAlignment="1" applyProtection="1">
      <alignment horizontal="center" vertical="center"/>
      <protection hidden="1"/>
    </xf>
    <xf numFmtId="0" fontId="21" fillId="10" borderId="47" xfId="0" applyFont="1" applyFill="1" applyBorder="1" applyAlignment="1">
      <alignment horizontal="center" vertical="center"/>
    </xf>
    <xf numFmtId="0" fontId="21" fillId="10" borderId="48" xfId="0" applyFont="1" applyFill="1" applyBorder="1" applyAlignment="1">
      <alignment horizontal="center" vertical="center"/>
    </xf>
    <xf numFmtId="0" fontId="21" fillId="10" borderId="16" xfId="0" applyFont="1" applyFill="1" applyBorder="1" applyAlignment="1">
      <alignment horizontal="center" vertical="center"/>
    </xf>
    <xf numFmtId="0" fontId="21" fillId="10" borderId="17" xfId="0" applyFont="1" applyFill="1" applyBorder="1" applyAlignment="1">
      <alignment horizontal="center" vertical="center"/>
    </xf>
    <xf numFmtId="0" fontId="0" fillId="0" borderId="0" xfId="0" applyAlignment="1">
      <alignment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1"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1" val="0"/>
</file>

<file path=xl/ctrlProps/ctrlProp6.xml><?xml version="1.0" encoding="utf-8"?>
<formControlPr xmlns="http://schemas.microsoft.com/office/spreadsheetml/2009/9/main" objectType="Drop" dropLines="10" dropStyle="combo" dx="26" fmlaLink="$J$26" fmlaRange="$G$33:$G$39" sel="6" val="0"/>
</file>

<file path=xl/ctrlProps/ctrlProp7.xml><?xml version="1.0" encoding="utf-8"?>
<formControlPr xmlns="http://schemas.microsoft.com/office/spreadsheetml/2009/9/main" objectType="Drop" dropLines="10" dropStyle="combo" dx="26" fmlaLink="$K$1" fmlaRange="$H$8:$H$16" sel="4" val="0"/>
</file>

<file path=xl/ctrlProps/ctrlProp8.xml><?xml version="1.0" encoding="utf-8"?>
<formControlPr xmlns="http://schemas.microsoft.com/office/spreadsheetml/2009/9/main" objectType="Drop" dropLines="10" dropStyle="combo" dx="26" fmlaLink="$L$1" fmlaRange="$I$8:$I$16" sel="2" val="0"/>
</file>

<file path=xl/ctrlProps/ctrlProp9.xml><?xml version="1.0" encoding="utf-8"?>
<formControlPr xmlns="http://schemas.microsoft.com/office/spreadsheetml/2009/9/main" objectType="Drop" dropLines="10" dropStyle="combo" dx="26" fmlaLink="$L$1" fmlaRange="$I$8:$I$16" sel="1"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545448</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1</xdr:col>
      <xdr:colOff>28777</xdr:colOff>
      <xdr:row>3</xdr:row>
      <xdr:rowOff>83637</xdr:rowOff>
    </xdr:from>
    <xdr:ext cx="3286798"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326951" y="1226637"/>
          <a:ext cx="3286798"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1</xdr:col>
      <xdr:colOff>251074</xdr:colOff>
      <xdr:row>30</xdr:row>
      <xdr:rowOff>21350</xdr:rowOff>
    </xdr:from>
    <xdr:ext cx="2913426"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549248" y="9728567"/>
          <a:ext cx="2913426"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34</xdr:row>
          <xdr:rowOff>323850</xdr:rowOff>
        </xdr:from>
        <xdr:to>
          <xdr:col>1</xdr:col>
          <xdr:colOff>2152650</xdr:colOff>
          <xdr:row>35</xdr:row>
          <xdr:rowOff>438150</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272835</xdr:colOff>
      <xdr:row>3</xdr:row>
      <xdr:rowOff>83637</xdr:rowOff>
    </xdr:from>
    <xdr:ext cx="3431965"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272835" y="1226637"/>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10</xdr:row>
          <xdr:rowOff>476250</xdr:rowOff>
        </xdr:from>
        <xdr:to>
          <xdr:col>1</xdr:col>
          <xdr:colOff>2181225</xdr:colOff>
          <xdr:row>11</xdr:row>
          <xdr:rowOff>314325</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286602</xdr:colOff>
      <xdr:row>3</xdr:row>
      <xdr:rowOff>114492</xdr:rowOff>
    </xdr:from>
    <xdr:ext cx="3216523"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286602" y="1257492"/>
          <a:ext cx="3216523"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1</xdr:col>
      <xdr:colOff>33110</xdr:colOff>
      <xdr:row>3</xdr:row>
      <xdr:rowOff>18868</xdr:rowOff>
    </xdr:from>
    <xdr:ext cx="3431965"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331284" y="1161868"/>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Εάν το πλάτος πόρτας είναι περισσότερο από 600</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mm, </a:t>
          </a:r>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ένας μηχανισμός είναι αρκετός. </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0</xdr:colOff>
      <xdr:row>28</xdr:row>
      <xdr:rowOff>149246</xdr:rowOff>
    </xdr:from>
    <xdr:ext cx="3431965"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0" y="9268398"/>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264560"/>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9448728"/>
          <a:ext cx="3746052" cy="264560"/>
        </a:xfrm>
        <a:prstGeom prst="rect">
          <a:avLst/>
        </a:prstGeom>
        <a:noFill/>
      </xdr:spPr>
      <xdr:txBody>
        <a:bodyPr wrap="square" lIns="91440" tIns="45720" rIns="91440" bIns="45720">
          <a:spAutoFit/>
        </a:bodyPr>
        <a:lstStyle/>
        <a:p>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35</xdr:row>
          <xdr:rowOff>95250</xdr:rowOff>
        </xdr:from>
        <xdr:to>
          <xdr:col>1</xdr:col>
          <xdr:colOff>2209800</xdr:colOff>
          <xdr:row>36</xdr:row>
          <xdr:rowOff>200025</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264737</xdr:colOff>
      <xdr:row>3</xdr:row>
      <xdr:rowOff>45537</xdr:rowOff>
    </xdr:from>
    <xdr:ext cx="323171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264737" y="1188537"/>
          <a:ext cx="3231719"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Η "πόρτα" </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3313" name="Object 1" hidden="1">
              <a:extLst>
                <a:ext uri="{63B3BB69-23CF-44E3-9099-C40C66FF867C}">
                  <a14:compatExt spid="_x0000_s13313"/>
                </a:ext>
                <a:ext uri="{FF2B5EF4-FFF2-40B4-BE49-F238E27FC236}">
                  <a16:creationId xmlns:a16="http://schemas.microsoft.com/office/drawing/2014/main" id="{00000000-0008-0000-05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76200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5</xdr:col>
      <xdr:colOff>350520</xdr:colOff>
      <xdr:row>0</xdr:row>
      <xdr:rowOff>0</xdr:rowOff>
    </xdr:from>
    <xdr:ext cx="3080189" cy="2723633"/>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98520" y="0"/>
          <a:ext cx="3080189" cy="2723633"/>
        </a:xfrm>
        <a:prstGeom prst="rect">
          <a:avLst/>
        </a:prstGeom>
      </xdr:spPr>
    </xdr:pic>
    <xdr:clientData/>
  </xdr:one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3314" name="Drop Down 2" hidden="1">
              <a:extLst>
                <a:ext uri="{63B3BB69-23CF-44E3-9099-C40C66FF867C}">
                  <a14:compatExt spid="_x0000_s13314"/>
                </a:ext>
                <a:ext uri="{FF2B5EF4-FFF2-40B4-BE49-F238E27FC236}">
                  <a16:creationId xmlns:a16="http://schemas.microsoft.com/office/drawing/2014/main" id="{00000000-0008-0000-0500-000002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6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134034</xdr:colOff>
      <xdr:row>4</xdr:row>
      <xdr:rowOff>1</xdr:rowOff>
    </xdr:from>
    <xdr:ext cx="3431965" cy="433452"/>
    <xdr:sp macro="" textlink="">
      <xdr:nvSpPr>
        <xdr:cNvPr id="2" name="Прямоугольник 4">
          <a:extLst>
            <a:ext uri="{FF2B5EF4-FFF2-40B4-BE49-F238E27FC236}">
              <a16:creationId xmlns:a16="http://schemas.microsoft.com/office/drawing/2014/main" id="{00000000-0008-0000-0600-000002000000}"/>
            </a:ext>
          </a:extLst>
        </xdr:cNvPr>
        <xdr:cNvSpPr/>
      </xdr:nvSpPr>
      <xdr:spPr>
        <a:xfrm>
          <a:off x="448359" y="990601"/>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7</xdr:col>
      <xdr:colOff>1709</xdr:colOff>
      <xdr:row>9</xdr:row>
      <xdr:rowOff>361433</xdr:rowOff>
    </xdr:to>
    <xdr:pic>
      <xdr:nvPicPr>
        <xdr:cNvPr id="3" name="Рисунок 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6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5.bin"/><Relationship Id="rId5" Type="http://schemas.openxmlformats.org/officeDocument/2006/relationships/vmlDrawing" Target="../drawings/vmlDrawing4.vml"/><Relationship Id="rId10" Type="http://schemas.openxmlformats.org/officeDocument/2006/relationships/ctrlProp" Target="../ctrlProps/ctrlProp6.xml"/><Relationship Id="rId4" Type="http://schemas.openxmlformats.org/officeDocument/2006/relationships/drawing" Target="../drawings/drawing4.x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8.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8.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hyperlink" Target="http://www.dtcdtc.com/" TargetMode="External"/><Relationship Id="rId6" Type="http://schemas.openxmlformats.org/officeDocument/2006/relationships/ctrlProp" Target="../ctrlProps/ctrlProp9.xml"/><Relationship Id="rId5" Type="http://schemas.openxmlformats.org/officeDocument/2006/relationships/image" Target="../media/image1.emf"/><Relationship Id="rId4" Type="http://schemas.openxmlformats.org/officeDocument/2006/relationships/oleObject" Target="../embeddings/oleObject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39" zoomScale="115" zoomScaleNormal="115" workbookViewId="0">
      <selection activeCell="B44" sqref="B44"/>
    </sheetView>
  </sheetViews>
  <sheetFormatPr defaultColWidth="9.140625" defaultRowHeight="15"/>
  <cols>
    <col min="1" max="1" width="4.42578125" customWidth="1"/>
    <col min="2" max="2" width="32.42578125" customWidth="1"/>
    <col min="3" max="3" width="46.7109375" customWidth="1"/>
    <col min="4" max="4" width="8.140625" customWidth="1"/>
    <col min="5" max="5" width="27.855468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8" t="s">
        <v>89</v>
      </c>
      <c r="B1" s="89"/>
      <c r="C1" s="89"/>
      <c r="D1" s="89"/>
      <c r="E1" s="90"/>
      <c r="H1" s="109" t="s">
        <v>91</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7">
        <v>1</v>
      </c>
      <c r="B8" s="100" t="s">
        <v>153</v>
      </c>
      <c r="C8" s="101"/>
      <c r="D8" s="101"/>
      <c r="E8" s="102"/>
      <c r="G8" s="1" t="s">
        <v>96</v>
      </c>
      <c r="H8" s="12">
        <v>10.9</v>
      </c>
      <c r="I8" s="12">
        <f>B10*C10/1000000*H8+E10/1000</f>
        <v>3.27</v>
      </c>
      <c r="J8" s="13" t="s">
        <v>118</v>
      </c>
    </row>
    <row r="9" spans="1:10" ht="21" customHeight="1">
      <c r="A9" s="98"/>
      <c r="B9" s="23" t="s">
        <v>166</v>
      </c>
      <c r="C9" s="24" t="s">
        <v>167</v>
      </c>
      <c r="D9" s="110" t="s">
        <v>0</v>
      </c>
      <c r="E9" s="20" t="s">
        <v>174</v>
      </c>
      <c r="F9" s="37"/>
      <c r="G9" s="1" t="s">
        <v>97</v>
      </c>
      <c r="H9" s="12">
        <v>12.2</v>
      </c>
      <c r="I9" s="12">
        <f>B10*C10/1000000*H9+E10/1000</f>
        <v>3.6599999999999997</v>
      </c>
      <c r="J9" s="12">
        <f>IF(J1=2,I9,J10)</f>
        <v>3.5999999999999996</v>
      </c>
    </row>
    <row r="10" spans="1:10" ht="30" customHeight="1" thickBot="1">
      <c r="A10" s="99"/>
      <c r="B10" s="9">
        <v>600</v>
      </c>
      <c r="C10" s="10">
        <v>500</v>
      </c>
      <c r="D10" s="111"/>
      <c r="E10" s="11">
        <v>0</v>
      </c>
      <c r="F10" s="38"/>
      <c r="G10" s="1" t="s">
        <v>98</v>
      </c>
      <c r="H10" s="12">
        <v>12.1</v>
      </c>
      <c r="I10" s="12">
        <f>B10*C10/1000000*H10+E10/1000</f>
        <v>3.63</v>
      </c>
      <c r="J10" s="12">
        <f>IF(J1=3,I10,J11)</f>
        <v>3.5999999999999996</v>
      </c>
    </row>
    <row r="11" spans="1:10" ht="30" customHeight="1">
      <c r="A11" s="97">
        <v>2</v>
      </c>
      <c r="B11" s="100" t="s">
        <v>154</v>
      </c>
      <c r="C11" s="101"/>
      <c r="D11" s="101"/>
      <c r="E11" s="102"/>
      <c r="F11" s="38"/>
      <c r="G11" s="1" t="s">
        <v>99</v>
      </c>
      <c r="H11" s="12">
        <v>14.5</v>
      </c>
      <c r="I11" s="12">
        <f>B10*C10/1000000*H11+E10/1000</f>
        <v>4.3499999999999996</v>
      </c>
      <c r="J11" s="12">
        <f>IF(J1=4,I11,J12)</f>
        <v>3.5999999999999996</v>
      </c>
    </row>
    <row r="12" spans="1:10" ht="21" customHeight="1">
      <c r="A12" s="98"/>
      <c r="B12" s="103"/>
      <c r="C12" s="25" t="s">
        <v>155</v>
      </c>
      <c r="D12" s="105" t="s">
        <v>156</v>
      </c>
      <c r="E12" s="106"/>
      <c r="F12" s="39"/>
      <c r="G12" s="1" t="s">
        <v>114</v>
      </c>
      <c r="H12" s="12">
        <v>16.5</v>
      </c>
      <c r="I12" s="12">
        <f>B10*C10/1000000*H12+E10/1000</f>
        <v>4.95</v>
      </c>
      <c r="J12" s="12">
        <f>IF(J1=5,I12,J13)</f>
        <v>3.5999999999999996</v>
      </c>
    </row>
    <row r="13" spans="1:10" ht="30" customHeight="1" thickBot="1">
      <c r="A13" s="99"/>
      <c r="B13" s="104"/>
      <c r="C13" s="15">
        <f>IF(J1=1,I8,J9)</f>
        <v>3.5999999999999996</v>
      </c>
      <c r="D13" s="107">
        <f>C13*B10</f>
        <v>2160</v>
      </c>
      <c r="E13" s="108"/>
      <c r="F13" s="40"/>
      <c r="G13" s="1" t="s">
        <v>100</v>
      </c>
      <c r="H13" s="12">
        <v>11</v>
      </c>
      <c r="I13" s="12">
        <f>B10*C10/1000000*H13+E10/1000</f>
        <v>3.3</v>
      </c>
      <c r="J13" s="12">
        <f>IF(J1=6,I13,J14)</f>
        <v>3.5999999999999996</v>
      </c>
    </row>
    <row r="14" spans="1:10" ht="22.9" customHeight="1">
      <c r="A14" s="77">
        <v>3</v>
      </c>
      <c r="B14" s="33" t="s">
        <v>170</v>
      </c>
      <c r="C14" s="41" t="s">
        <v>171</v>
      </c>
      <c r="D14" s="73" t="s">
        <v>175</v>
      </c>
      <c r="E14" s="74"/>
      <c r="F14" s="39"/>
      <c r="G14" s="1" t="s">
        <v>101</v>
      </c>
      <c r="H14" s="12">
        <v>12</v>
      </c>
      <c r="I14" s="12">
        <f>B10*C10/1000000*H14+E10/1000</f>
        <v>3.5999999999999996</v>
      </c>
      <c r="J14" s="12">
        <f>IF(J1=7,I14,J15)</f>
        <v>3.5999999999999996</v>
      </c>
    </row>
    <row r="15" spans="1:10" ht="33.6" customHeight="1">
      <c r="A15" s="78"/>
      <c r="B15" s="31" t="s">
        <v>160</v>
      </c>
      <c r="C15" s="42" t="str">
        <f>G17</f>
        <v>SQ02BH03A</v>
      </c>
      <c r="D15" s="75" t="str">
        <f>H17</f>
        <v>SQ02BH03B</v>
      </c>
      <c r="E15" s="76"/>
      <c r="G15" s="1" t="s">
        <v>115</v>
      </c>
      <c r="H15" s="12">
        <v>15</v>
      </c>
      <c r="I15" s="12">
        <f>B10*C10/1000000*H15+E10/1000</f>
        <v>4.5</v>
      </c>
      <c r="J15" s="12" t="e">
        <f>IF(J1=8,I15,J16)</f>
        <v>#REF!</v>
      </c>
    </row>
    <row r="16" spans="1:10" ht="70.5" customHeight="1" thickBot="1">
      <c r="A16" s="79"/>
      <c r="B16" s="34" t="s">
        <v>176</v>
      </c>
      <c r="C16" s="43" t="str">
        <f>G18</f>
        <v/>
      </c>
      <c r="D16" s="71" t="str">
        <f>H18</f>
        <v/>
      </c>
      <c r="E16" s="72"/>
      <c r="G16" s="1" t="s">
        <v>102</v>
      </c>
      <c r="H16" s="12">
        <v>11.2</v>
      </c>
      <c r="I16" s="12">
        <f>B10*C10/1000000*H16+E10/1000</f>
        <v>3.36</v>
      </c>
      <c r="J16" s="12" t="e">
        <f>IF(J1=9,I16,#REF!)</f>
        <v>#REF!</v>
      </c>
    </row>
    <row r="17" spans="1:10" ht="91.5" customHeight="1">
      <c r="A17" s="98">
        <v>4</v>
      </c>
      <c r="B17" s="115" t="s">
        <v>178</v>
      </c>
      <c r="C17" s="116"/>
      <c r="D17" s="116"/>
      <c r="E17" s="117"/>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8"/>
      <c r="B18" s="27" t="s">
        <v>163</v>
      </c>
      <c r="C18" s="28" t="s">
        <v>173</v>
      </c>
      <c r="D18" s="118" t="s">
        <v>164</v>
      </c>
      <c r="E18" s="119"/>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8"/>
      <c r="B19" s="16" t="s">
        <v>71</v>
      </c>
      <c r="C19" s="5" t="s">
        <v>75</v>
      </c>
      <c r="D19" s="86">
        <v>865</v>
      </c>
      <c r="E19" s="87"/>
    </row>
    <row r="20" spans="1:10" ht="21" customHeight="1">
      <c r="A20" s="98"/>
      <c r="B20" s="16" t="s">
        <v>72</v>
      </c>
      <c r="C20" s="5" t="s">
        <v>76</v>
      </c>
      <c r="D20" s="86">
        <v>1655</v>
      </c>
      <c r="E20" s="87"/>
    </row>
    <row r="21" spans="1:10" ht="21" customHeight="1">
      <c r="A21" s="98"/>
      <c r="B21" s="16" t="s">
        <v>73</v>
      </c>
      <c r="C21" s="5" t="s">
        <v>77</v>
      </c>
      <c r="D21" s="86">
        <v>2600</v>
      </c>
      <c r="E21" s="87"/>
    </row>
    <row r="22" spans="1:10" ht="21" customHeight="1" thickBot="1">
      <c r="A22" s="99"/>
      <c r="B22" s="17" t="s">
        <v>74</v>
      </c>
      <c r="C22" s="5" t="s">
        <v>78</v>
      </c>
      <c r="D22" s="120">
        <v>3500</v>
      </c>
      <c r="E22" s="121"/>
    </row>
    <row r="23" spans="1:10">
      <c r="A23" s="80" t="s">
        <v>105</v>
      </c>
      <c r="B23" s="81"/>
      <c r="C23" s="81"/>
      <c r="D23" s="81"/>
      <c r="E23" s="82"/>
    </row>
    <row r="24" spans="1:10" ht="15.75" thickBot="1">
      <c r="A24" s="83"/>
      <c r="B24" s="84"/>
      <c r="C24" s="84"/>
      <c r="D24" s="84"/>
      <c r="E24" s="85"/>
      <c r="H24" s="109" t="s">
        <v>116</v>
      </c>
      <c r="I24" s="109"/>
      <c r="J24" s="13">
        <v>1</v>
      </c>
    </row>
    <row r="25" spans="1:10" ht="30" customHeight="1"/>
    <row r="26" spans="1:10" ht="30" customHeight="1" thickBot="1"/>
    <row r="27" spans="1:10" ht="30" customHeight="1">
      <c r="A27" s="88" t="s">
        <v>165</v>
      </c>
      <c r="B27" s="89"/>
      <c r="C27" s="89"/>
      <c r="D27" s="89"/>
      <c r="E27" s="90"/>
    </row>
    <row r="28" spans="1:10" ht="30" customHeight="1">
      <c r="A28" s="91"/>
      <c r="B28" s="92"/>
      <c r="C28" s="92"/>
      <c r="D28" s="92"/>
      <c r="E28" s="93"/>
    </row>
    <row r="29" spans="1:10" ht="14.65" customHeight="1">
      <c r="A29" s="91"/>
      <c r="B29" s="92"/>
      <c r="C29" s="92"/>
      <c r="D29" s="92"/>
      <c r="E29" s="93"/>
    </row>
    <row r="30" spans="1:10" ht="14.65" customHeight="1">
      <c r="A30" s="91"/>
      <c r="B30" s="92"/>
      <c r="C30" s="92"/>
      <c r="D30" s="92"/>
      <c r="E30" s="93"/>
      <c r="G30" s="1" t="s">
        <v>95</v>
      </c>
      <c r="H30" s="1" t="s">
        <v>92</v>
      </c>
      <c r="I30" s="1" t="s">
        <v>93</v>
      </c>
      <c r="J30" s="1" t="s">
        <v>94</v>
      </c>
    </row>
    <row r="31" spans="1:10" ht="15" customHeight="1">
      <c r="A31" s="91"/>
      <c r="B31" s="92"/>
      <c r="C31" s="92"/>
      <c r="D31" s="92"/>
      <c r="E31" s="93"/>
      <c r="G31" s="1" t="s">
        <v>96</v>
      </c>
      <c r="H31" s="12">
        <v>10.9</v>
      </c>
      <c r="I31" s="12">
        <f>B36*C36/1000000*H31+E36/1000</f>
        <v>3.27</v>
      </c>
      <c r="J31" s="13" t="s">
        <v>4</v>
      </c>
    </row>
    <row r="32" spans="1:10" ht="30" customHeight="1">
      <c r="A32" s="91"/>
      <c r="B32" s="92"/>
      <c r="C32" s="92"/>
      <c r="D32" s="92"/>
      <c r="E32" s="93"/>
      <c r="G32" s="1" t="s">
        <v>97</v>
      </c>
      <c r="H32" s="12">
        <v>12.2</v>
      </c>
      <c r="I32" s="12">
        <f>B36*C36/1000000*H32+E36/1000</f>
        <v>3.6599999999999997</v>
      </c>
      <c r="J32" s="12">
        <f>IF(J24=2,I32,J33)</f>
        <v>0</v>
      </c>
    </row>
    <row r="33" spans="1:11" ht="30" customHeight="1" thickBot="1">
      <c r="A33" s="94"/>
      <c r="B33" s="95"/>
      <c r="C33" s="95"/>
      <c r="D33" s="95"/>
      <c r="E33" s="96"/>
      <c r="G33" s="1" t="s">
        <v>98</v>
      </c>
      <c r="H33" s="12">
        <v>12.1</v>
      </c>
      <c r="I33" s="12">
        <f>B36*C36/1000000*H33+E36/1000</f>
        <v>3.63</v>
      </c>
      <c r="J33" s="12">
        <f>IF(J24=3,I33,J34)</f>
        <v>0</v>
      </c>
    </row>
    <row r="34" spans="1:11" ht="30" customHeight="1">
      <c r="A34" s="98">
        <v>1</v>
      </c>
      <c r="B34" s="112" t="s">
        <v>153</v>
      </c>
      <c r="C34" s="113"/>
      <c r="D34" s="113"/>
      <c r="E34" s="114"/>
      <c r="F34" s="22"/>
      <c r="G34" s="1" t="s">
        <v>99</v>
      </c>
      <c r="H34" s="12">
        <v>14.5</v>
      </c>
      <c r="I34" s="12">
        <f>B36*C36/1000000*H34+E36/1000</f>
        <v>4.3499999999999996</v>
      </c>
      <c r="J34" s="12">
        <f>IF(J24=4,I34,J35)</f>
        <v>0</v>
      </c>
      <c r="K34" s="29"/>
    </row>
    <row r="35" spans="1:11" ht="30" customHeight="1">
      <c r="A35" s="98"/>
      <c r="B35" s="23" t="s">
        <v>166</v>
      </c>
      <c r="C35" s="24" t="s">
        <v>167</v>
      </c>
      <c r="D35" s="110" t="s">
        <v>0</v>
      </c>
      <c r="E35" s="20" t="s">
        <v>168</v>
      </c>
      <c r="F35" s="22"/>
      <c r="G35" s="1" t="s">
        <v>114</v>
      </c>
      <c r="H35" s="12">
        <v>16.5</v>
      </c>
      <c r="I35" s="12">
        <f>B36*C36/1000000*H35+E36/1000</f>
        <v>4.95</v>
      </c>
      <c r="J35" s="12">
        <f>IF(J24=5,I35,J36)</f>
        <v>0</v>
      </c>
      <c r="K35" s="29"/>
    </row>
    <row r="36" spans="1:11" ht="36.75" customHeight="1" thickBot="1">
      <c r="A36" s="99"/>
      <c r="B36" s="9">
        <v>600</v>
      </c>
      <c r="C36" s="10">
        <v>500</v>
      </c>
      <c r="D36" s="111"/>
      <c r="E36" s="11">
        <v>0</v>
      </c>
      <c r="G36" s="1" t="s">
        <v>100</v>
      </c>
      <c r="H36" s="12">
        <v>11</v>
      </c>
      <c r="I36" s="12">
        <f>B36*C36/1000000*H36+E36/1000</f>
        <v>3.3</v>
      </c>
      <c r="J36" s="12">
        <f>IF(J24=6,I36,J37)</f>
        <v>0</v>
      </c>
    </row>
    <row r="37" spans="1:11" ht="30" customHeight="1">
      <c r="A37" s="97">
        <v>2</v>
      </c>
      <c r="B37" s="100" t="s">
        <v>154</v>
      </c>
      <c r="C37" s="101"/>
      <c r="D37" s="101"/>
      <c r="E37" s="102"/>
      <c r="G37" s="1" t="s">
        <v>101</v>
      </c>
      <c r="H37" s="12">
        <v>12</v>
      </c>
      <c r="I37" s="12">
        <f>B36*C36/1000000*H37+E36/1000</f>
        <v>3.5999999999999996</v>
      </c>
      <c r="J37" s="12">
        <f>IF(J24=7,I37,J38)</f>
        <v>0</v>
      </c>
    </row>
    <row r="38" spans="1:11" ht="29.45" customHeight="1">
      <c r="A38" s="98"/>
      <c r="B38" s="103"/>
      <c r="C38" s="26" t="s">
        <v>155</v>
      </c>
      <c r="D38" s="105" t="s">
        <v>169</v>
      </c>
      <c r="E38" s="106"/>
      <c r="G38" s="1" t="s">
        <v>115</v>
      </c>
      <c r="H38" s="12">
        <v>15</v>
      </c>
      <c r="I38" s="12">
        <f>B36*C36/1000000*H38+E36/1000</f>
        <v>4.5</v>
      </c>
      <c r="J38" s="12">
        <f>IF(J24=8,I38,J39)</f>
        <v>0</v>
      </c>
    </row>
    <row r="39" spans="1:11" ht="25.15" customHeight="1" thickBot="1">
      <c r="A39" s="99"/>
      <c r="B39" s="104"/>
      <c r="C39" s="15">
        <f>IF(J24=1,I31,J32)</f>
        <v>3.27</v>
      </c>
      <c r="D39" s="107">
        <f>C39*B36</f>
        <v>1962</v>
      </c>
      <c r="E39" s="108"/>
      <c r="G39" s="1" t="s">
        <v>102</v>
      </c>
      <c r="H39" s="12">
        <v>11.2</v>
      </c>
      <c r="I39" s="12">
        <f>B36*C36/1000000*H39+E36/1000</f>
        <v>3.36</v>
      </c>
      <c r="J39" s="12">
        <f>IF(J24=9,I39,J40)</f>
        <v>0</v>
      </c>
    </row>
    <row r="40" spans="1:11" ht="25.9" customHeight="1">
      <c r="A40" s="77">
        <v>3</v>
      </c>
      <c r="B40" s="33" t="s">
        <v>170</v>
      </c>
      <c r="C40" s="41" t="s">
        <v>171</v>
      </c>
      <c r="D40" s="73" t="s">
        <v>172</v>
      </c>
      <c r="E40" s="74"/>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8"/>
      <c r="B41" s="31" t="s">
        <v>160</v>
      </c>
      <c r="C41" s="42" t="str">
        <f>G40</f>
        <v>SQ2FBH03A</v>
      </c>
      <c r="D41" s="75" t="str">
        <f>H40</f>
        <v>SQ2FBH03B</v>
      </c>
      <c r="E41" s="76"/>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108" customHeight="1" thickBot="1">
      <c r="A42" s="79"/>
      <c r="B42" s="34" t="s">
        <v>161</v>
      </c>
      <c r="C42" s="43" t="str">
        <f>G41</f>
        <v/>
      </c>
      <c r="D42" s="71" t="str">
        <f>H41</f>
        <v/>
      </c>
      <c r="E42" s="72"/>
    </row>
    <row r="43" spans="1:11" ht="78" customHeight="1">
      <c r="A43" s="97">
        <v>4</v>
      </c>
      <c r="B43" s="122" t="s">
        <v>177</v>
      </c>
      <c r="C43" s="123"/>
      <c r="D43" s="123"/>
      <c r="E43" s="124"/>
    </row>
    <row r="44" spans="1:11">
      <c r="A44" s="98"/>
      <c r="B44" s="27" t="s">
        <v>163</v>
      </c>
      <c r="C44" s="28" t="s">
        <v>173</v>
      </c>
      <c r="D44" s="118" t="s">
        <v>164</v>
      </c>
      <c r="E44" s="119"/>
    </row>
    <row r="45" spans="1:11">
      <c r="A45" s="98"/>
      <c r="B45" s="16" t="s">
        <v>82</v>
      </c>
      <c r="C45" s="5" t="s">
        <v>113</v>
      </c>
      <c r="D45" s="86">
        <v>965</v>
      </c>
      <c r="E45" s="87"/>
    </row>
    <row r="46" spans="1:11">
      <c r="A46" s="98"/>
      <c r="B46" s="16" t="s">
        <v>83</v>
      </c>
      <c r="C46" s="5" t="s">
        <v>86</v>
      </c>
      <c r="D46" s="86">
        <v>1755</v>
      </c>
      <c r="E46" s="87"/>
    </row>
    <row r="47" spans="1:11">
      <c r="A47" s="98"/>
      <c r="B47" s="16" t="s">
        <v>84</v>
      </c>
      <c r="C47" s="5" t="s">
        <v>87</v>
      </c>
      <c r="D47" s="86">
        <v>2900</v>
      </c>
      <c r="E47" s="87"/>
    </row>
    <row r="48" spans="1:11" ht="15.75" thickBot="1">
      <c r="A48" s="99"/>
      <c r="B48" s="17" t="s">
        <v>85</v>
      </c>
      <c r="C48" s="5" t="s">
        <v>88</v>
      </c>
      <c r="D48" s="120">
        <v>3800</v>
      </c>
      <c r="E48" s="121"/>
    </row>
    <row r="49" spans="1:5">
      <c r="A49" s="80" t="s">
        <v>105</v>
      </c>
      <c r="B49" s="81"/>
      <c r="C49" s="81"/>
      <c r="D49" s="81"/>
      <c r="E49" s="82"/>
    </row>
    <row r="50" spans="1:5" ht="15.75" thickBot="1">
      <c r="A50" s="83"/>
      <c r="B50" s="84"/>
      <c r="C50" s="84"/>
      <c r="D50" s="84"/>
      <c r="E50" s="85"/>
    </row>
  </sheetData>
  <mergeCells count="44">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D42:E42"/>
    <mergeCell ref="D14:E14"/>
    <mergeCell ref="D15:E15"/>
    <mergeCell ref="D16:E16"/>
    <mergeCell ref="A14:A16"/>
    <mergeCell ref="A23:E24"/>
    <mergeCell ref="D21:E21"/>
    <mergeCell ref="A27:E33"/>
  </mergeCells>
  <phoneticPr fontId="14"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34</xdr:row>
                    <xdr:rowOff>323850</xdr:rowOff>
                  </from>
                  <to>
                    <xdr:col>1</xdr:col>
                    <xdr:colOff>2152650</xdr:colOff>
                    <xdr:row>35</xdr:row>
                    <xdr:rowOff>438150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5" zoomScale="115" zoomScaleNormal="115" workbookViewId="0">
      <selection activeCell="B24" sqref="B24"/>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5" t="s">
        <v>79</v>
      </c>
      <c r="B1" s="89"/>
      <c r="C1" s="89"/>
      <c r="D1" s="89"/>
      <c r="E1" s="90"/>
      <c r="H1" s="109" t="s">
        <v>91</v>
      </c>
      <c r="I1" s="109"/>
      <c r="J1" s="13">
        <v>5</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153</v>
      </c>
      <c r="C8" s="113"/>
      <c r="D8" s="113"/>
      <c r="E8" s="114"/>
      <c r="G8" s="1" t="s">
        <v>96</v>
      </c>
      <c r="H8" s="12">
        <v>10.9</v>
      </c>
      <c r="I8" s="12">
        <f>B10*C10/1000000*H8+E10/1000</f>
        <v>3.27</v>
      </c>
      <c r="J8" s="13" t="s">
        <v>4</v>
      </c>
    </row>
    <row r="9" spans="1:10">
      <c r="A9" s="98"/>
      <c r="B9" s="23" t="s">
        <v>179</v>
      </c>
      <c r="C9" s="24" t="s">
        <v>167</v>
      </c>
      <c r="D9" s="110" t="s">
        <v>0</v>
      </c>
      <c r="E9" s="21" t="s">
        <v>174</v>
      </c>
      <c r="G9" s="1" t="s">
        <v>97</v>
      </c>
      <c r="H9" s="12">
        <v>12.2</v>
      </c>
      <c r="I9" s="12">
        <f>B10*C10/1000000*H9+E10/1000</f>
        <v>3.6599999999999997</v>
      </c>
      <c r="J9" s="12">
        <f>IF(J1=2,I9,J10)</f>
        <v>4.95</v>
      </c>
    </row>
    <row r="10" spans="1:10" ht="30" customHeight="1" thickBot="1">
      <c r="A10" s="99"/>
      <c r="B10" s="9">
        <v>600</v>
      </c>
      <c r="C10" s="10">
        <v>500</v>
      </c>
      <c r="D10" s="111"/>
      <c r="E10" s="11">
        <v>0</v>
      </c>
      <c r="G10" s="1" t="s">
        <v>98</v>
      </c>
      <c r="H10" s="12">
        <v>12.1</v>
      </c>
      <c r="I10" s="12">
        <f>B10*C10/1000000*H10+E10/1000</f>
        <v>3.63</v>
      </c>
      <c r="J10" s="12">
        <f>IF(J1=3,I10,J11)</f>
        <v>4.95</v>
      </c>
    </row>
    <row r="11" spans="1:10" ht="51.75" customHeight="1">
      <c r="A11" s="97">
        <v>2</v>
      </c>
      <c r="B11" s="122" t="s">
        <v>180</v>
      </c>
      <c r="C11" s="123"/>
      <c r="D11" s="123"/>
      <c r="E11" s="124"/>
      <c r="G11" s="1" t="s">
        <v>99</v>
      </c>
      <c r="H11" s="12">
        <v>14.5</v>
      </c>
      <c r="I11" s="12">
        <f>B10*C10/1000000*H11+E10/1000</f>
        <v>4.3499999999999996</v>
      </c>
      <c r="J11" s="12">
        <f>IF(J1=4,I11,J12)</f>
        <v>4.95</v>
      </c>
    </row>
    <row r="12" spans="1:10" ht="25.9" customHeight="1">
      <c r="A12" s="98"/>
      <c r="B12" s="103"/>
      <c r="C12" s="25" t="s">
        <v>103</v>
      </c>
      <c r="D12" s="105" t="s">
        <v>104</v>
      </c>
      <c r="E12" s="106"/>
      <c r="G12" s="1" t="s">
        <v>114</v>
      </c>
      <c r="H12" s="12">
        <v>16.5</v>
      </c>
      <c r="I12" s="12">
        <f>B10*C10/1000000*H12+E10/1000</f>
        <v>4.95</v>
      </c>
      <c r="J12" s="12">
        <f>IF(J1=5,I12,J13)</f>
        <v>4.95</v>
      </c>
    </row>
    <row r="13" spans="1:10" ht="30" customHeight="1" thickBot="1">
      <c r="A13" s="99"/>
      <c r="B13" s="104"/>
      <c r="C13" s="15">
        <f>IF(J1=1,I8,J9)</f>
        <v>4.95</v>
      </c>
      <c r="D13" s="107">
        <f>C13*B10</f>
        <v>2970</v>
      </c>
      <c r="E13" s="108"/>
      <c r="F13" s="29"/>
      <c r="G13" s="1" t="s">
        <v>100</v>
      </c>
      <c r="H13" s="12">
        <v>11</v>
      </c>
      <c r="I13" s="12">
        <f>B10*C10/1000000*H13+E10/1000</f>
        <v>3.3</v>
      </c>
      <c r="J13" s="12" t="e">
        <f>IF(J1=6,I13,J14)</f>
        <v>#REF!</v>
      </c>
    </row>
    <row r="14" spans="1:10" ht="29.45" customHeight="1">
      <c r="A14" s="77">
        <v>3</v>
      </c>
      <c r="B14" s="33" t="s">
        <v>170</v>
      </c>
      <c r="C14" s="41" t="s">
        <v>171</v>
      </c>
      <c r="D14" s="73" t="s">
        <v>181</v>
      </c>
      <c r="E14" s="74"/>
      <c r="F14" s="29"/>
      <c r="G14" s="1" t="s">
        <v>101</v>
      </c>
      <c r="H14" s="12">
        <v>12</v>
      </c>
      <c r="I14" s="12">
        <f>B10*C10/1000000*H14+E10/1000</f>
        <v>3.5999999999999996</v>
      </c>
      <c r="J14" s="12" t="e">
        <f>IF(J1=7,I14,J15)</f>
        <v>#REF!</v>
      </c>
    </row>
    <row r="15" spans="1:10" ht="34.15" customHeight="1">
      <c r="A15" s="78"/>
      <c r="B15" s="31" t="s">
        <v>182</v>
      </c>
      <c r="C15" s="42" t="str">
        <f>G17</f>
        <v>SQ00AH02A</v>
      </c>
      <c r="D15" s="75" t="str">
        <f>H17</f>
        <v>SQ00AH02B</v>
      </c>
      <c r="E15" s="76"/>
      <c r="G15" s="1" t="s">
        <v>115</v>
      </c>
      <c r="H15" s="12">
        <v>15</v>
      </c>
      <c r="I15" s="12">
        <f>B10*C10/1000000*H15+E10/1000</f>
        <v>4.5</v>
      </c>
      <c r="J15" s="12" t="e">
        <f>IF(J1=8,I15,J16)</f>
        <v>#REF!</v>
      </c>
    </row>
    <row r="16" spans="1:10" ht="34.15" customHeight="1" thickBot="1">
      <c r="A16" s="79"/>
      <c r="B16" s="34" t="s">
        <v>183</v>
      </c>
      <c r="C16" s="43" t="str">
        <f>G18</f>
        <v/>
      </c>
      <c r="D16" s="71" t="str">
        <f>H18</f>
        <v/>
      </c>
      <c r="E16" s="72"/>
      <c r="G16" s="1" t="s">
        <v>102</v>
      </c>
      <c r="H16" s="12">
        <v>11.2</v>
      </c>
      <c r="I16" s="12">
        <f>B10*C10/1000000*H16+E10/1000</f>
        <v>3.36</v>
      </c>
      <c r="J16" s="12" t="e">
        <f>IF(J1=9,I16,#REF!)</f>
        <v>#REF!</v>
      </c>
    </row>
    <row r="17" spans="1:8" ht="90" customHeight="1">
      <c r="A17" s="97">
        <v>4</v>
      </c>
      <c r="B17" s="122" t="s">
        <v>184</v>
      </c>
      <c r="C17" s="123"/>
      <c r="D17" s="123"/>
      <c r="E17" s="124"/>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8"/>
      <c r="B18" s="27" t="s">
        <v>185</v>
      </c>
      <c r="C18" s="28" t="s">
        <v>186</v>
      </c>
      <c r="D18" s="118" t="s">
        <v>164</v>
      </c>
      <c r="E18" s="119"/>
      <c r="G18" t="str">
        <f>IF(D13&gt;5250,"the door is too big, out of range",IF(D13&gt;3500,"3pcs of SQ00AH02A",""))</f>
        <v/>
      </c>
      <c r="H18" t="str">
        <f>IF(D13&gt;5250,"the door is too big, out of range",IF(D13&gt;3500,"3pcs of SQ00AH02B",""))</f>
        <v/>
      </c>
    </row>
    <row r="19" spans="1:8" ht="15" customHeight="1">
      <c r="A19" s="98"/>
      <c r="B19" s="16" t="s">
        <v>5</v>
      </c>
      <c r="C19" s="5" t="s">
        <v>1</v>
      </c>
      <c r="D19" s="86">
        <v>915</v>
      </c>
      <c r="E19" s="87"/>
    </row>
    <row r="20" spans="1:8" ht="15" customHeight="1">
      <c r="A20" s="98"/>
      <c r="B20" s="16" t="s">
        <v>6</v>
      </c>
      <c r="C20" s="5" t="s">
        <v>2</v>
      </c>
      <c r="D20" s="86">
        <v>1500</v>
      </c>
      <c r="E20" s="87"/>
    </row>
    <row r="21" spans="1:8" ht="15" customHeight="1" thickBot="1">
      <c r="A21" s="99"/>
      <c r="B21" s="17" t="s">
        <v>7</v>
      </c>
      <c r="C21" s="6" t="s">
        <v>3</v>
      </c>
      <c r="D21" s="120">
        <v>2650</v>
      </c>
      <c r="E21" s="121"/>
    </row>
    <row r="22" spans="1:8">
      <c r="A22" s="80" t="s">
        <v>105</v>
      </c>
      <c r="B22" s="81"/>
      <c r="C22" s="81"/>
      <c r="D22" s="81"/>
      <c r="E22" s="82"/>
    </row>
    <row r="23" spans="1:8" ht="15.75" thickBot="1">
      <c r="A23" s="83"/>
      <c r="B23" s="84"/>
      <c r="C23" s="84"/>
      <c r="D23" s="84"/>
      <c r="E23" s="85"/>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 ref="D16:E16"/>
  </mergeCells>
  <phoneticPr fontId="14"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10</xdr:row>
                    <xdr:rowOff>476250</xdr:rowOff>
                  </from>
                  <to>
                    <xdr:col>1</xdr:col>
                    <xdr:colOff>2181225</xdr:colOff>
                    <xdr:row>11</xdr:row>
                    <xdr:rowOff>314325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topLeftCell="A21" zoomScale="115" zoomScaleNormal="115" workbookViewId="0">
      <selection activeCell="C18" sqref="C18"/>
    </sheetView>
  </sheetViews>
  <sheetFormatPr defaultColWidth="9.140625" defaultRowHeight="15"/>
  <cols>
    <col min="1" max="1" width="4.42578125" customWidth="1"/>
    <col min="2" max="2" width="32.42578125" customWidth="1"/>
    <col min="3" max="3" width="31.7109375" customWidth="1"/>
    <col min="4" max="4" width="8.140625" customWidth="1"/>
    <col min="5" max="5" width="24.8554687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5" t="s">
        <v>80</v>
      </c>
      <c r="B1" s="89"/>
      <c r="C1" s="89"/>
      <c r="D1" s="89"/>
      <c r="E1" s="90"/>
      <c r="H1" s="109" t="s">
        <v>107</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153</v>
      </c>
      <c r="C8" s="113"/>
      <c r="D8" s="113"/>
      <c r="E8" s="114"/>
      <c r="G8" s="1" t="s">
        <v>96</v>
      </c>
      <c r="H8" s="12">
        <v>10.9</v>
      </c>
      <c r="I8" s="12">
        <f>B10*C10/1000000*H8+E10/1000</f>
        <v>0.22</v>
      </c>
      <c r="J8" s="13" t="s">
        <v>4</v>
      </c>
    </row>
    <row r="9" spans="1:10">
      <c r="A9" s="98"/>
      <c r="B9" s="23" t="s">
        <v>152</v>
      </c>
      <c r="C9" s="24" t="s">
        <v>167</v>
      </c>
      <c r="D9" s="110" t="s">
        <v>0</v>
      </c>
      <c r="E9" s="21" t="s">
        <v>168</v>
      </c>
      <c r="G9" s="1" t="s">
        <v>97</v>
      </c>
      <c r="H9" s="12">
        <v>12.2</v>
      </c>
      <c r="I9" s="12">
        <f>B10*C10/1000000*H9+E10/1000</f>
        <v>0.246</v>
      </c>
      <c r="J9" s="12">
        <f>IF(J1=2,I9,J10)</f>
        <v>0.24199999999999999</v>
      </c>
    </row>
    <row r="10" spans="1:10" ht="30" customHeight="1" thickBot="1">
      <c r="A10" s="99"/>
      <c r="B10" s="9">
        <v>100</v>
      </c>
      <c r="C10" s="10">
        <v>200</v>
      </c>
      <c r="D10" s="111"/>
      <c r="E10" s="11">
        <v>2</v>
      </c>
      <c r="G10" s="1" t="s">
        <v>98</v>
      </c>
      <c r="H10" s="12">
        <v>12.1</v>
      </c>
      <c r="I10" s="12">
        <f>B10*C10/1000000*H10+E10/1000</f>
        <v>0.24399999999999999</v>
      </c>
      <c r="J10" s="12">
        <f>IF(J1=3,I10,J11)</f>
        <v>0.24199999999999999</v>
      </c>
    </row>
    <row r="11" spans="1:10" ht="30" customHeight="1">
      <c r="A11" s="97">
        <v>2</v>
      </c>
      <c r="B11" s="100" t="s">
        <v>154</v>
      </c>
      <c r="C11" s="101"/>
      <c r="D11" s="101"/>
      <c r="E11" s="102"/>
      <c r="G11" s="1" t="s">
        <v>99</v>
      </c>
      <c r="H11" s="12">
        <v>14.5</v>
      </c>
      <c r="I11" s="12">
        <f>B10*C10/1000000*H11+E10/1000</f>
        <v>0.29199999999999998</v>
      </c>
      <c r="J11" s="12">
        <f>IF(J1=4,I11,J12)</f>
        <v>0.24199999999999999</v>
      </c>
    </row>
    <row r="12" spans="1:10" ht="20.45" customHeight="1">
      <c r="A12" s="98"/>
      <c r="B12" s="103"/>
      <c r="C12" s="25" t="s">
        <v>155</v>
      </c>
      <c r="D12" s="105" t="s">
        <v>156</v>
      </c>
      <c r="E12" s="106"/>
      <c r="G12" s="1" t="s">
        <v>114</v>
      </c>
      <c r="H12" s="12">
        <v>16.5</v>
      </c>
      <c r="I12" s="12">
        <f>B10*C10/1000000*H12+E10/1000</f>
        <v>0.33200000000000002</v>
      </c>
      <c r="J12" s="12">
        <f>IF(J1=5,I12,J13)</f>
        <v>0.24199999999999999</v>
      </c>
    </row>
    <row r="13" spans="1:10" ht="30" customHeight="1" thickBot="1">
      <c r="A13" s="99"/>
      <c r="B13" s="104"/>
      <c r="C13" s="15">
        <f>IF(J1=1,I8,J9)</f>
        <v>0.24199999999999999</v>
      </c>
      <c r="D13" s="126">
        <f>C13*B10</f>
        <v>24.2</v>
      </c>
      <c r="E13" s="127"/>
      <c r="F13" s="29"/>
      <c r="G13" s="1" t="s">
        <v>100</v>
      </c>
      <c r="H13" s="12">
        <v>11</v>
      </c>
      <c r="I13" s="12">
        <f>B10*C10/1000000*H13+E10/1000</f>
        <v>0.222</v>
      </c>
      <c r="J13" s="12">
        <f>IF(J1=6,I13,J14)</f>
        <v>0.24199999999999999</v>
      </c>
    </row>
    <row r="14" spans="1:10" ht="25.9" customHeight="1">
      <c r="A14" s="77">
        <v>3</v>
      </c>
      <c r="B14" s="33" t="s">
        <v>157</v>
      </c>
      <c r="C14" s="41" t="s">
        <v>158</v>
      </c>
      <c r="D14" s="73" t="s">
        <v>159</v>
      </c>
      <c r="E14" s="74"/>
      <c r="F14" s="29"/>
      <c r="G14" s="1" t="s">
        <v>101</v>
      </c>
      <c r="H14" s="12">
        <v>12</v>
      </c>
      <c r="I14" s="12">
        <f>B10*C10/1000000*H14+E10/1000</f>
        <v>0.24199999999999999</v>
      </c>
      <c r="J14" s="12">
        <f>IF(J1=7,I14,J15)</f>
        <v>0.24199999999999999</v>
      </c>
    </row>
    <row r="15" spans="1:10" ht="37.9" customHeight="1">
      <c r="A15" s="78"/>
      <c r="B15" s="31" t="s">
        <v>160</v>
      </c>
      <c r="C15" s="42" t="str">
        <f>G17</f>
        <v>the door is too small</v>
      </c>
      <c r="D15" s="75" t="str">
        <f>H17</f>
        <v>the door is too small</v>
      </c>
      <c r="E15" s="76"/>
      <c r="G15" s="1" t="s">
        <v>115</v>
      </c>
      <c r="H15" s="12">
        <v>15</v>
      </c>
      <c r="I15" s="12">
        <f>B10*C10/1000000*H15+E10/1000</f>
        <v>0.30199999999999999</v>
      </c>
      <c r="J15" s="12">
        <f>IF(J1=8,I15,J16)</f>
        <v>0</v>
      </c>
    </row>
    <row r="16" spans="1:10" ht="68.25" customHeight="1" thickBot="1">
      <c r="A16" s="79"/>
      <c r="B16" s="34" t="s">
        <v>161</v>
      </c>
      <c r="C16" s="43" t="str">
        <f>G18</f>
        <v/>
      </c>
      <c r="D16" s="71" t="str">
        <f>H18</f>
        <v/>
      </c>
      <c r="E16" s="72"/>
      <c r="G16" s="1" t="s">
        <v>102</v>
      </c>
      <c r="H16" s="12">
        <v>11.2</v>
      </c>
      <c r="I16" s="12">
        <f>B10*C10/1000000*H16+E10/1000</f>
        <v>0.22599999999999998</v>
      </c>
      <c r="J16" s="12">
        <f>IF(J1=9,I16,J17)</f>
        <v>0</v>
      </c>
    </row>
    <row r="17" spans="1:8" ht="97.5" customHeight="1">
      <c r="A17" s="97">
        <v>4</v>
      </c>
      <c r="B17" s="122" t="s">
        <v>162</v>
      </c>
      <c r="C17" s="123"/>
      <c r="D17" s="123"/>
      <c r="E17" s="124"/>
      <c r="G17" s="29" t="str">
        <f>IF(D13&lt;480,"the door is too small",IF(D13&lt;750,"SF00AD02A",IF(D13&lt;1500,"SF00AL02A",IF(D13&lt;3200,"SF00AM02A",IF(D13&lt;=9000,"SF00AH02A","")))))</f>
        <v>the door is too small</v>
      </c>
      <c r="H17" s="29" t="str">
        <f>IF(D13&lt;480,"the door is too small",IF(D13&lt;750,"SF00AD02B",IF(D13&lt;1500,"SF00AL02B",IF(D13&lt;3200,"SF00AM02B",IF(D13&lt;=9000,"SF00AH02B","")))))</f>
        <v>the door is too small</v>
      </c>
    </row>
    <row r="18" spans="1:8">
      <c r="A18" s="98"/>
      <c r="B18" s="27" t="s">
        <v>163</v>
      </c>
      <c r="C18" s="28" t="s">
        <v>195</v>
      </c>
      <c r="D18" s="118" t="s">
        <v>164</v>
      </c>
      <c r="E18" s="119"/>
      <c r="G18" t="str">
        <f>IF(D13&gt;13500,"the door is too big, out of range",IF(D13&gt;9000,"3pcs of SF00AH02A",""))</f>
        <v/>
      </c>
      <c r="H18" t="str">
        <f>IF(D13&gt;13500,"the door is too big, out of range",IF(D13&gt;9000,"3pcs of SF00AH02B",""))</f>
        <v/>
      </c>
    </row>
    <row r="19" spans="1:8">
      <c r="A19" s="98"/>
      <c r="B19" s="4" t="s">
        <v>11</v>
      </c>
      <c r="C19" s="5" t="s">
        <v>12</v>
      </c>
      <c r="D19" s="86">
        <v>990</v>
      </c>
      <c r="E19" s="87"/>
    </row>
    <row r="20" spans="1:8">
      <c r="A20" s="98"/>
      <c r="B20" s="16" t="s">
        <v>8</v>
      </c>
      <c r="C20" s="5" t="s">
        <v>13</v>
      </c>
      <c r="D20" s="86">
        <v>1625</v>
      </c>
      <c r="E20" s="87"/>
    </row>
    <row r="21" spans="1:8">
      <c r="A21" s="98"/>
      <c r="B21" s="16" t="s">
        <v>9</v>
      </c>
      <c r="C21" s="5" t="s">
        <v>14</v>
      </c>
      <c r="D21" s="86">
        <v>3200</v>
      </c>
      <c r="E21" s="87"/>
    </row>
    <row r="22" spans="1:8" ht="15.75" thickBot="1">
      <c r="A22" s="99"/>
      <c r="B22" s="17" t="s">
        <v>10</v>
      </c>
      <c r="C22" s="6" t="s">
        <v>15</v>
      </c>
      <c r="D22" s="120">
        <v>6100</v>
      </c>
      <c r="E22" s="121"/>
    </row>
    <row r="23" spans="1:8">
      <c r="A23" s="80" t="s">
        <v>105</v>
      </c>
      <c r="B23" s="81"/>
      <c r="C23" s="81"/>
      <c r="D23" s="81"/>
      <c r="E23" s="82"/>
    </row>
    <row r="24" spans="1:8" ht="15.75" thickBot="1">
      <c r="A24" s="83"/>
      <c r="B24" s="84"/>
      <c r="C24" s="84"/>
      <c r="D24" s="84"/>
      <c r="E24" s="85"/>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4"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topLeftCell="A3" zoomScale="115" zoomScaleNormal="115" workbookViewId="0">
      <selection activeCell="B16" sqref="B16:E16"/>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5" t="s">
        <v>81</v>
      </c>
      <c r="B1" s="89"/>
      <c r="C1" s="89"/>
      <c r="D1" s="89"/>
      <c r="E1" s="90"/>
      <c r="H1" s="109" t="s">
        <v>108</v>
      </c>
      <c r="I1" s="109"/>
      <c r="J1" s="13">
        <v>1</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153</v>
      </c>
      <c r="C8" s="113"/>
      <c r="D8" s="113"/>
      <c r="E8" s="114"/>
      <c r="G8" s="1" t="s">
        <v>96</v>
      </c>
      <c r="H8" s="12">
        <v>10.9</v>
      </c>
      <c r="I8" s="12">
        <f>B10*C10/1000000*H8+E10/1000</f>
        <v>3.2919999999999998</v>
      </c>
      <c r="J8" s="13" t="s">
        <v>4</v>
      </c>
    </row>
    <row r="9" spans="1:10" ht="18" customHeight="1">
      <c r="A9" s="98"/>
      <c r="B9" s="23" t="s">
        <v>187</v>
      </c>
      <c r="C9" s="24" t="s">
        <v>167</v>
      </c>
      <c r="D9" s="110" t="s">
        <v>0</v>
      </c>
      <c r="E9" s="21" t="s">
        <v>168</v>
      </c>
      <c r="G9" s="1" t="s">
        <v>97</v>
      </c>
      <c r="H9" s="12">
        <v>12.2</v>
      </c>
      <c r="I9" s="12">
        <f>B10*C10/1000000*H9+E10/1000</f>
        <v>3.6819999999999995</v>
      </c>
      <c r="J9" s="12">
        <f>IF(J1=2,I9,J10)</f>
        <v>0</v>
      </c>
    </row>
    <row r="10" spans="1:10" ht="27" customHeight="1" thickBot="1">
      <c r="A10" s="99"/>
      <c r="B10" s="9">
        <v>600</v>
      </c>
      <c r="C10" s="10">
        <v>500</v>
      </c>
      <c r="D10" s="111"/>
      <c r="E10" s="11">
        <v>22</v>
      </c>
      <c r="G10" s="1" t="s">
        <v>98</v>
      </c>
      <c r="H10" s="12">
        <v>12.1</v>
      </c>
      <c r="I10" s="12">
        <f>B10*C10/1000000*H10+E10/1000</f>
        <v>3.6519999999999997</v>
      </c>
      <c r="J10" s="12">
        <f>IF(J1=3,I10,J11)</f>
        <v>0</v>
      </c>
    </row>
    <row r="11" spans="1:10" ht="30" customHeight="1">
      <c r="A11" s="97">
        <v>2</v>
      </c>
      <c r="B11" s="122" t="s">
        <v>188</v>
      </c>
      <c r="C11" s="123"/>
      <c r="D11" s="123"/>
      <c r="E11" s="124"/>
      <c r="G11" s="1" t="s">
        <v>99</v>
      </c>
      <c r="H11" s="12">
        <v>14.5</v>
      </c>
      <c r="I11" s="12">
        <f>B10*C10/1000000*H11+E10/1000</f>
        <v>4.3719999999999999</v>
      </c>
      <c r="J11" s="12">
        <f>IF(J1=4,I11,J12)</f>
        <v>0</v>
      </c>
    </row>
    <row r="12" spans="1:10" ht="23.45" customHeight="1">
      <c r="A12" s="98"/>
      <c r="B12" s="103"/>
      <c r="C12" s="2" t="s">
        <v>193</v>
      </c>
      <c r="D12" s="135" t="s">
        <v>156</v>
      </c>
      <c r="E12" s="136"/>
      <c r="G12" s="1" t="s">
        <v>114</v>
      </c>
      <c r="H12" s="12">
        <v>16.5</v>
      </c>
      <c r="I12" s="12">
        <f>B10*C10/1000000*H12+E10/1000</f>
        <v>4.9720000000000004</v>
      </c>
      <c r="J12" s="12">
        <f>IF(J1=5,I12,J13)</f>
        <v>0</v>
      </c>
    </row>
    <row r="13" spans="1:10" ht="37.9" customHeight="1" thickBot="1">
      <c r="A13" s="98"/>
      <c r="B13" s="134"/>
      <c r="C13" s="32">
        <f>IF(J1=1,I8,J9)</f>
        <v>3.2919999999999998</v>
      </c>
      <c r="D13" s="137">
        <f>C13*B10</f>
        <v>1975.1999999999998</v>
      </c>
      <c r="E13" s="138"/>
      <c r="F13" s="22"/>
      <c r="G13" s="1" t="s">
        <v>100</v>
      </c>
      <c r="H13" s="12">
        <v>11</v>
      </c>
      <c r="I13" s="12">
        <f>B10*C10/1000000*H13+E10/1000</f>
        <v>3.3219999999999996</v>
      </c>
      <c r="J13" s="12">
        <f>IF(J1=6,I13,J14)</f>
        <v>0</v>
      </c>
    </row>
    <row r="14" spans="1:10" ht="25.15" customHeight="1">
      <c r="A14" s="77">
        <v>3</v>
      </c>
      <c r="B14" s="128" t="s">
        <v>170</v>
      </c>
      <c r="C14" s="41" t="s">
        <v>190</v>
      </c>
      <c r="D14" s="130" t="s">
        <v>191</v>
      </c>
      <c r="E14" s="131"/>
      <c r="F14" s="22"/>
      <c r="G14" s="1" t="s">
        <v>101</v>
      </c>
      <c r="H14" s="12">
        <v>12</v>
      </c>
      <c r="I14" s="12">
        <f>B10*C10/1000000*H14+E10/1000</f>
        <v>3.6219999999999994</v>
      </c>
      <c r="J14" s="12">
        <f>IF(J1=7,I14,J15)</f>
        <v>0</v>
      </c>
    </row>
    <row r="15" spans="1:10" ht="35.450000000000003" customHeight="1" thickBot="1">
      <c r="A15" s="79"/>
      <c r="B15" s="129"/>
      <c r="C15" s="44" t="str">
        <f>G17</f>
        <v>SE00AH01</v>
      </c>
      <c r="D15" s="132" t="str">
        <f>G18</f>
        <v/>
      </c>
      <c r="E15" s="133"/>
      <c r="G15" s="1" t="s">
        <v>115</v>
      </c>
      <c r="H15" s="12">
        <v>15</v>
      </c>
      <c r="I15" s="12">
        <f>B10*C10/1000000*H15+E10/1000</f>
        <v>4.5220000000000002</v>
      </c>
      <c r="J15" s="12">
        <f>IF(J1=8,I15,J16)</f>
        <v>0</v>
      </c>
    </row>
    <row r="16" spans="1:10" ht="98.25" customHeight="1">
      <c r="A16" s="97">
        <v>4</v>
      </c>
      <c r="B16" s="122" t="s">
        <v>192</v>
      </c>
      <c r="C16" s="123"/>
      <c r="D16" s="123"/>
      <c r="E16" s="124"/>
      <c r="G16" s="1" t="s">
        <v>102</v>
      </c>
      <c r="H16" s="12">
        <v>11.2</v>
      </c>
      <c r="I16" s="12">
        <f>B10*C10/1000000*H16+E10/1000</f>
        <v>3.3819999999999997</v>
      </c>
      <c r="J16" s="12">
        <f>IF(J1=9,I16,J17)</f>
        <v>0</v>
      </c>
    </row>
    <row r="17" spans="1:10" ht="27" customHeight="1">
      <c r="A17" s="98"/>
      <c r="B17" s="27" t="s">
        <v>163</v>
      </c>
      <c r="C17" s="28" t="s">
        <v>195</v>
      </c>
      <c r="D17" s="118" t="s">
        <v>196</v>
      </c>
      <c r="E17" s="119"/>
      <c r="G17" s="29" t="str">
        <f>IF(D13&lt;200,"the door is too small",IF(D13&lt;500,"SE00AL01",IF(D13&lt;960,"SE00AM01",IF(D13&lt;=2350,"SE00AH01",""))))</f>
        <v>SE00AH01</v>
      </c>
    </row>
    <row r="18" spans="1:10" ht="15.6" customHeight="1">
      <c r="A18" s="98"/>
      <c r="B18" s="16" t="s">
        <v>16</v>
      </c>
      <c r="C18" s="5" t="s">
        <v>20</v>
      </c>
      <c r="D18" s="86">
        <v>600</v>
      </c>
      <c r="E18" s="87"/>
      <c r="G18" s="29" t="str">
        <f>IF(D13&gt;4700,"the door is too big, out of range",IF(D13&gt;2350,"2sets of SE00AH01",""))</f>
        <v/>
      </c>
    </row>
    <row r="19" spans="1:10" ht="15.6" customHeight="1">
      <c r="A19" s="98"/>
      <c r="B19" s="16" t="s">
        <v>17</v>
      </c>
      <c r="C19" s="5" t="s">
        <v>19</v>
      </c>
      <c r="D19" s="86">
        <v>1000</v>
      </c>
      <c r="E19" s="87"/>
    </row>
    <row r="20" spans="1:10" ht="15.6" customHeight="1" thickBot="1">
      <c r="A20" s="99"/>
      <c r="B20" s="17" t="s">
        <v>18</v>
      </c>
      <c r="C20" s="6" t="s">
        <v>21</v>
      </c>
      <c r="D20" s="120">
        <v>1655</v>
      </c>
      <c r="E20" s="121"/>
    </row>
    <row r="21" spans="1:10">
      <c r="A21" s="80" t="s">
        <v>105</v>
      </c>
      <c r="B21" s="81"/>
      <c r="C21" s="81"/>
      <c r="D21" s="81"/>
      <c r="E21" s="82"/>
    </row>
    <row r="22" spans="1:10" ht="15.75" thickBot="1">
      <c r="A22" s="83"/>
      <c r="B22" s="84"/>
      <c r="C22" s="84"/>
      <c r="D22" s="84"/>
      <c r="E22" s="85"/>
    </row>
    <row r="23" spans="1:10" ht="30" customHeight="1"/>
    <row r="24" spans="1:10" ht="30" customHeight="1"/>
    <row r="25" spans="1:10" ht="30" customHeight="1" thickBot="1"/>
    <row r="26" spans="1:10" ht="30" customHeight="1">
      <c r="A26" s="125" t="s">
        <v>109</v>
      </c>
      <c r="B26" s="89"/>
      <c r="C26" s="89"/>
      <c r="D26" s="89"/>
      <c r="E26" s="90"/>
      <c r="H26" s="109" t="s">
        <v>108</v>
      </c>
      <c r="I26" s="109"/>
      <c r="J26" s="13">
        <v>6</v>
      </c>
    </row>
    <row r="27" spans="1:10" ht="30" customHeight="1">
      <c r="A27" s="91"/>
      <c r="B27" s="92"/>
      <c r="C27" s="92"/>
      <c r="D27" s="92"/>
      <c r="E27" s="93"/>
    </row>
    <row r="28" spans="1:10" ht="14.65" customHeight="1">
      <c r="A28" s="91"/>
      <c r="B28" s="92"/>
      <c r="C28" s="92"/>
      <c r="D28" s="92"/>
      <c r="E28" s="93"/>
    </row>
    <row r="29" spans="1:10" ht="14.65" customHeight="1">
      <c r="A29" s="91"/>
      <c r="B29" s="92"/>
      <c r="C29" s="92"/>
      <c r="D29" s="92"/>
      <c r="E29" s="93"/>
    </row>
    <row r="30" spans="1:10" ht="15" customHeight="1">
      <c r="A30" s="91"/>
      <c r="B30" s="92"/>
      <c r="C30" s="92"/>
      <c r="D30" s="92"/>
      <c r="E30" s="93"/>
    </row>
    <row r="31" spans="1:10" ht="30" customHeight="1">
      <c r="A31" s="91"/>
      <c r="B31" s="92"/>
      <c r="C31" s="92"/>
      <c r="D31" s="92"/>
      <c r="E31" s="93"/>
    </row>
    <row r="32" spans="1:10" ht="15.75" thickBot="1">
      <c r="A32" s="94"/>
      <c r="B32" s="95"/>
      <c r="C32" s="95"/>
      <c r="D32" s="95"/>
      <c r="E32" s="96"/>
      <c r="G32" s="1" t="s">
        <v>95</v>
      </c>
      <c r="H32" s="1" t="s">
        <v>92</v>
      </c>
      <c r="I32" s="1" t="s">
        <v>93</v>
      </c>
      <c r="J32" s="1" t="s">
        <v>94</v>
      </c>
    </row>
    <row r="33" spans="1:11" ht="30" customHeight="1">
      <c r="A33" s="98">
        <v>1</v>
      </c>
      <c r="B33" s="112" t="s">
        <v>153</v>
      </c>
      <c r="C33" s="113"/>
      <c r="D33" s="113"/>
      <c r="E33" s="114"/>
      <c r="G33" s="1" t="s">
        <v>96</v>
      </c>
      <c r="H33" s="12">
        <v>10.9</v>
      </c>
      <c r="I33" s="12">
        <f>B35*C35/1000000*H33+E35/1000</f>
        <v>3.3029999999999999</v>
      </c>
      <c r="J33" s="13" t="s">
        <v>4</v>
      </c>
    </row>
    <row r="34" spans="1:11" ht="30" customHeight="1">
      <c r="A34" s="98"/>
      <c r="B34" s="23" t="s">
        <v>187</v>
      </c>
      <c r="C34" s="24" t="s">
        <v>167</v>
      </c>
      <c r="D34" s="110" t="s">
        <v>0</v>
      </c>
      <c r="E34" s="21" t="s">
        <v>168</v>
      </c>
      <c r="G34" s="1" t="s">
        <v>97</v>
      </c>
      <c r="H34" s="12">
        <v>12.2</v>
      </c>
      <c r="I34" s="12">
        <f>B35*C35/1000000*H34+E35/1000</f>
        <v>3.6929999999999996</v>
      </c>
      <c r="J34" s="12">
        <f>IF(J26=2,I34,J35)</f>
        <v>3.6329999999999996</v>
      </c>
    </row>
    <row r="35" spans="1:11" ht="21.6" customHeight="1" thickBot="1">
      <c r="A35" s="99"/>
      <c r="B35" s="9">
        <v>600</v>
      </c>
      <c r="C35" s="10">
        <v>500</v>
      </c>
      <c r="D35" s="111"/>
      <c r="E35" s="11">
        <v>33</v>
      </c>
      <c r="G35" s="1" t="s">
        <v>98</v>
      </c>
      <c r="H35" s="12">
        <v>12.1</v>
      </c>
      <c r="I35" s="12">
        <f>B35*C35/1000000*H35+E35/1000</f>
        <v>3.6629999999999998</v>
      </c>
      <c r="J35" s="12">
        <f>IF(J26=3,I35,J36)</f>
        <v>3.6329999999999996</v>
      </c>
    </row>
    <row r="36" spans="1:11" ht="30" customHeight="1">
      <c r="A36" s="97">
        <v>2</v>
      </c>
      <c r="B36" s="122" t="s">
        <v>188</v>
      </c>
      <c r="C36" s="123"/>
      <c r="D36" s="123"/>
      <c r="E36" s="124"/>
      <c r="F36" s="29"/>
      <c r="G36" s="1" t="s">
        <v>99</v>
      </c>
      <c r="H36" s="12">
        <v>14.5</v>
      </c>
      <c r="I36" s="12">
        <f>B35*C35/1000000*H36+E35/1000</f>
        <v>4.383</v>
      </c>
      <c r="J36" s="12">
        <f>IF(J26=4,I36,J37)</f>
        <v>3.6329999999999996</v>
      </c>
      <c r="K36" s="29"/>
    </row>
    <row r="37" spans="1:11" ht="42" customHeight="1">
      <c r="A37" s="98"/>
      <c r="B37" s="103"/>
      <c r="C37" s="2" t="s">
        <v>189</v>
      </c>
      <c r="D37" s="135" t="s">
        <v>156</v>
      </c>
      <c r="E37" s="136"/>
      <c r="F37" s="29"/>
      <c r="G37" s="1" t="s">
        <v>100</v>
      </c>
      <c r="H37" s="12">
        <v>11</v>
      </c>
      <c r="I37" s="12">
        <f>B35*C35/1000000*H37+E35/1000</f>
        <v>3.3329999999999997</v>
      </c>
      <c r="J37" s="12">
        <f>IF(J26=5,I37,J38)</f>
        <v>3.6329999999999996</v>
      </c>
      <c r="K37" s="29"/>
    </row>
    <row r="38" spans="1:11" ht="27.6" customHeight="1" thickBot="1">
      <c r="A38" s="99"/>
      <c r="B38" s="104"/>
      <c r="C38" s="15">
        <f>IF(J26=1,I33,J34)</f>
        <v>3.6329999999999996</v>
      </c>
      <c r="D38" s="126">
        <f>C38*B35</f>
        <v>2179.7999999999997</v>
      </c>
      <c r="E38" s="127"/>
      <c r="G38" s="1" t="s">
        <v>101</v>
      </c>
      <c r="H38" s="12">
        <v>12</v>
      </c>
      <c r="I38" s="12">
        <f>B35*C35/1000000*H38+E35/1000</f>
        <v>3.6329999999999996</v>
      </c>
      <c r="J38" s="12">
        <f>IF(J26=6,I38,J39)</f>
        <v>3.6329999999999996</v>
      </c>
    </row>
    <row r="39" spans="1:11" ht="29.45" customHeight="1">
      <c r="A39" s="77">
        <v>3</v>
      </c>
      <c r="B39" s="128" t="s">
        <v>170</v>
      </c>
      <c r="C39" s="41" t="s">
        <v>190</v>
      </c>
      <c r="D39" s="130" t="s">
        <v>191</v>
      </c>
      <c r="E39" s="131"/>
      <c r="G39" s="1" t="s">
        <v>102</v>
      </c>
      <c r="H39" s="12">
        <v>11.2</v>
      </c>
      <c r="I39" s="12">
        <f>B35*C35/1000000*H39+E35/1000</f>
        <v>3.3929999999999998</v>
      </c>
      <c r="J39" s="12">
        <f>IF(J26=7,I39,J40)</f>
        <v>0</v>
      </c>
    </row>
    <row r="40" spans="1:11" ht="29.45" customHeight="1" thickBot="1">
      <c r="A40" s="79"/>
      <c r="B40" s="129"/>
      <c r="C40" s="44" t="str">
        <f>G40</f>
        <v/>
      </c>
      <c r="D40" s="132" t="str">
        <f>G41</f>
        <v>2sets of SE2FAH01</v>
      </c>
      <c r="E40" s="133"/>
      <c r="G40" s="29" t="str">
        <f>IF(D38&lt;200,"the door is too small",IF(D38&lt;500,"SE2FAL01",IF(D38&lt;960,"SE2FAM01",IF(D38&lt;=2050,"SE2FAH01",""))))</f>
        <v/>
      </c>
    </row>
    <row r="41" spans="1:11" ht="103.5" customHeight="1">
      <c r="A41" s="97">
        <v>4</v>
      </c>
      <c r="B41" s="122" t="s">
        <v>194</v>
      </c>
      <c r="C41" s="123"/>
      <c r="D41" s="123"/>
      <c r="E41" s="124"/>
      <c r="G41" s="29" t="str">
        <f>IF(D38&gt;4100,"the door is too big, out of range",IF(D38&gt;2050,"2sets of SE2FAH01",""))</f>
        <v>2sets of SE2FAH01</v>
      </c>
    </row>
    <row r="42" spans="1:11">
      <c r="A42" s="98"/>
      <c r="B42" s="27" t="s">
        <v>163</v>
      </c>
      <c r="C42" s="70" t="s">
        <v>195</v>
      </c>
      <c r="D42" s="118" t="s">
        <v>196</v>
      </c>
      <c r="E42" s="119"/>
    </row>
    <row r="43" spans="1:11">
      <c r="A43" s="98"/>
      <c r="B43" s="16" t="s">
        <v>68</v>
      </c>
      <c r="C43" s="5" t="s">
        <v>20</v>
      </c>
      <c r="D43" s="86">
        <v>600</v>
      </c>
      <c r="E43" s="87"/>
    </row>
    <row r="44" spans="1:11">
      <c r="A44" s="98"/>
      <c r="B44" s="16" t="s">
        <v>69</v>
      </c>
      <c r="C44" s="5" t="s">
        <v>66</v>
      </c>
      <c r="D44" s="86">
        <v>950</v>
      </c>
      <c r="E44" s="87"/>
    </row>
    <row r="45" spans="1:11" ht="15.75" thickBot="1">
      <c r="A45" s="99"/>
      <c r="B45" s="17" t="s">
        <v>70</v>
      </c>
      <c r="C45" s="6" t="s">
        <v>67</v>
      </c>
      <c r="D45" s="120">
        <v>1505</v>
      </c>
      <c r="E45" s="121"/>
    </row>
    <row r="46" spans="1:11">
      <c r="A46" s="80" t="s">
        <v>105</v>
      </c>
      <c r="B46" s="81"/>
      <c r="C46" s="81"/>
      <c r="D46" s="81"/>
      <c r="E46" s="82"/>
    </row>
    <row r="47" spans="1:11" ht="15.75" thickBot="1">
      <c r="A47" s="83"/>
      <c r="B47" s="84"/>
      <c r="C47" s="84"/>
      <c r="D47" s="84"/>
      <c r="E47" s="85"/>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4"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35</xdr:row>
                    <xdr:rowOff>95250</xdr:rowOff>
                  </from>
                  <to>
                    <xdr:col>1</xdr:col>
                    <xdr:colOff>2209800</xdr:colOff>
                    <xdr:row>36</xdr:row>
                    <xdr:rowOff>200025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opLeftCell="A13" zoomScale="115" zoomScaleNormal="115" workbookViewId="0">
      <selection activeCell="B14" sqref="B14:E14"/>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5" t="s">
        <v>117</v>
      </c>
      <c r="B1" s="89"/>
      <c r="C1" s="89"/>
      <c r="D1" s="89"/>
      <c r="E1" s="90"/>
      <c r="I1" s="109" t="s">
        <v>110</v>
      </c>
      <c r="J1" s="109"/>
      <c r="K1" s="13">
        <v>4</v>
      </c>
    </row>
    <row r="2" spans="1:11" ht="30" customHeight="1">
      <c r="A2" s="91"/>
      <c r="B2" s="92"/>
      <c r="C2" s="92"/>
      <c r="D2" s="92"/>
      <c r="E2" s="93"/>
    </row>
    <row r="3" spans="1:11" ht="30" customHeight="1">
      <c r="A3" s="91"/>
      <c r="B3" s="92"/>
      <c r="C3" s="92"/>
      <c r="D3" s="92"/>
      <c r="E3" s="93"/>
    </row>
    <row r="4" spans="1:11" ht="30" customHeight="1">
      <c r="A4" s="91"/>
      <c r="B4" s="92"/>
      <c r="C4" s="92"/>
      <c r="D4" s="92"/>
      <c r="E4" s="93"/>
    </row>
    <row r="5" spans="1:11" ht="14.65" customHeight="1">
      <c r="A5" s="91"/>
      <c r="B5" s="92"/>
      <c r="C5" s="92"/>
      <c r="D5" s="92"/>
      <c r="E5" s="93"/>
    </row>
    <row r="6" spans="1:11" ht="14.65" customHeight="1">
      <c r="A6" s="91"/>
      <c r="B6" s="92"/>
      <c r="C6" s="92"/>
      <c r="D6" s="92"/>
      <c r="E6" s="93"/>
    </row>
    <row r="7" spans="1:11" ht="15" customHeight="1" thickBot="1">
      <c r="A7" s="94"/>
      <c r="B7" s="95"/>
      <c r="C7" s="95"/>
      <c r="D7" s="95"/>
      <c r="E7" s="96"/>
      <c r="H7" s="1" t="s">
        <v>95</v>
      </c>
      <c r="I7" s="1" t="s">
        <v>92</v>
      </c>
      <c r="J7" s="1" t="s">
        <v>93</v>
      </c>
      <c r="K7" s="1" t="s">
        <v>94</v>
      </c>
    </row>
    <row r="8" spans="1:11" ht="30" customHeight="1">
      <c r="A8" s="98">
        <v>1</v>
      </c>
      <c r="B8" s="112" t="s">
        <v>201</v>
      </c>
      <c r="C8" s="113"/>
      <c r="D8" s="113"/>
      <c r="E8" s="114"/>
      <c r="H8" s="1" t="s">
        <v>96</v>
      </c>
      <c r="I8" s="12">
        <v>10.9</v>
      </c>
      <c r="J8" s="12">
        <f>B10*C10/1000000*I8+E10/1000</f>
        <v>9.2560000000000002</v>
      </c>
      <c r="K8" s="13" t="s">
        <v>4</v>
      </c>
    </row>
    <row r="9" spans="1:11">
      <c r="A9" s="98"/>
      <c r="B9" s="7" t="s">
        <v>112</v>
      </c>
      <c r="C9" s="8" t="s">
        <v>106</v>
      </c>
      <c r="D9" s="110" t="s">
        <v>0</v>
      </c>
      <c r="E9" s="21" t="s">
        <v>90</v>
      </c>
      <c r="H9" s="1" t="s">
        <v>97</v>
      </c>
      <c r="I9" s="12">
        <v>12.2</v>
      </c>
      <c r="J9" s="12">
        <f>B10*C10/1000000*I9+E10/1000</f>
        <v>10.347999999999999</v>
      </c>
      <c r="K9" s="12">
        <f>IF(K1=2,J9,K10)</f>
        <v>12.28</v>
      </c>
    </row>
    <row r="10" spans="1:11" ht="30" customHeight="1" thickBot="1">
      <c r="A10" s="99"/>
      <c r="B10" s="9">
        <v>700</v>
      </c>
      <c r="C10" s="10">
        <v>1200</v>
      </c>
      <c r="D10" s="111"/>
      <c r="E10" s="11">
        <v>100</v>
      </c>
      <c r="H10" s="1" t="s">
        <v>98</v>
      </c>
      <c r="I10" s="12">
        <v>12.1</v>
      </c>
      <c r="J10" s="12">
        <f>B10*C10/1000000*I10+E10/1000</f>
        <v>10.263999999999999</v>
      </c>
      <c r="K10" s="12">
        <f>IF(K1=3,J10,K11)</f>
        <v>12.28</v>
      </c>
    </row>
    <row r="11" spans="1:11" ht="30" customHeight="1">
      <c r="A11" s="97">
        <v>2</v>
      </c>
      <c r="B11" s="122" t="s">
        <v>188</v>
      </c>
      <c r="C11" s="123"/>
      <c r="D11" s="123"/>
      <c r="E11" s="124"/>
      <c r="H11" s="1" t="s">
        <v>99</v>
      </c>
      <c r="I11" s="12">
        <v>14.5</v>
      </c>
      <c r="J11" s="12">
        <f>B10*C10/1000000*I11+E10/1000</f>
        <v>12.28</v>
      </c>
      <c r="K11" s="12">
        <f>IF(K1=4,J11,K12)</f>
        <v>12.28</v>
      </c>
    </row>
    <row r="12" spans="1:11">
      <c r="A12" s="98"/>
      <c r="B12" s="103"/>
      <c r="C12" s="2" t="s">
        <v>155</v>
      </c>
      <c r="D12" s="135" t="s">
        <v>197</v>
      </c>
      <c r="E12" s="136"/>
      <c r="H12" s="1" t="s">
        <v>114</v>
      </c>
      <c r="I12" s="12">
        <v>16.5</v>
      </c>
      <c r="J12" s="12">
        <f>B10*C10/1000000*I12+E10/1000</f>
        <v>13.959999999999999</v>
      </c>
      <c r="K12" s="12">
        <f>IF(K1=5,J12,K13)</f>
        <v>0</v>
      </c>
    </row>
    <row r="13" spans="1:11" ht="30" customHeight="1" thickBot="1">
      <c r="A13" s="99"/>
      <c r="B13" s="104"/>
      <c r="C13" s="18">
        <f>IF(K1=1,J8,K9)</f>
        <v>12.28</v>
      </c>
      <c r="D13" s="126">
        <f>B10</f>
        <v>700</v>
      </c>
      <c r="E13" s="127"/>
      <c r="H13" s="1" t="s">
        <v>100</v>
      </c>
      <c r="I13" s="12">
        <v>11</v>
      </c>
      <c r="J13" s="12">
        <f>B10*C10/1000000*I13+E10/1000</f>
        <v>9.34</v>
      </c>
      <c r="K13" s="12">
        <f>IF(K1=6,J13,K14)</f>
        <v>0</v>
      </c>
    </row>
    <row r="14" spans="1:11" ht="80.099999999999994" customHeight="1" thickBot="1">
      <c r="A14" s="97">
        <v>3</v>
      </c>
      <c r="B14" s="122" t="s">
        <v>198</v>
      </c>
      <c r="C14" s="123"/>
      <c r="D14" s="123"/>
      <c r="E14" s="124"/>
      <c r="F14" s="139" t="s">
        <v>170</v>
      </c>
      <c r="G14" s="140"/>
      <c r="H14" s="36" t="s">
        <v>101</v>
      </c>
      <c r="I14" s="12">
        <v>12</v>
      </c>
      <c r="J14" s="12">
        <f>B10*C10/1000000*I14+E10/1000</f>
        <v>10.18</v>
      </c>
      <c r="K14" s="12">
        <f>IF(K1=7,J14,K15)</f>
        <v>0</v>
      </c>
    </row>
    <row r="15" spans="1:11" ht="33" customHeight="1" thickBot="1">
      <c r="A15" s="98"/>
      <c r="B15" s="3" t="s">
        <v>163</v>
      </c>
      <c r="C15" s="2" t="s">
        <v>155</v>
      </c>
      <c r="D15" s="135" t="s">
        <v>197</v>
      </c>
      <c r="E15" s="136"/>
      <c r="F15" s="50" t="s">
        <v>199</v>
      </c>
      <c r="G15" s="49" t="s">
        <v>200</v>
      </c>
      <c r="H15" s="36" t="s">
        <v>115</v>
      </c>
      <c r="I15" s="12">
        <v>15</v>
      </c>
      <c r="J15" s="12">
        <f>B10*C10/1000000*I15+E10/1000</f>
        <v>12.7</v>
      </c>
      <c r="K15" s="12">
        <f>IF(K1=8,J15,K16)</f>
        <v>0</v>
      </c>
    </row>
    <row r="16" spans="1:11">
      <c r="A16" s="98"/>
      <c r="B16" s="16" t="s">
        <v>26</v>
      </c>
      <c r="C16" s="14" t="s">
        <v>62</v>
      </c>
      <c r="D16" s="86" t="s">
        <v>22</v>
      </c>
      <c r="E16" s="87"/>
      <c r="F16" s="51" t="str">
        <f>H17</f>
        <v/>
      </c>
      <c r="G16" s="45" t="str">
        <f>I17</f>
        <v/>
      </c>
      <c r="H16" s="35" t="s">
        <v>102</v>
      </c>
      <c r="I16" s="30">
        <v>11.2</v>
      </c>
      <c r="J16" s="12">
        <f>B10*C10/1000000*I16+E10/1000</f>
        <v>9.5079999999999991</v>
      </c>
      <c r="K16" s="12">
        <f>IF(K1=9,J16,K17)</f>
        <v>0</v>
      </c>
    </row>
    <row r="17" spans="1:11">
      <c r="A17" s="98"/>
      <c r="B17" s="16" t="s">
        <v>27</v>
      </c>
      <c r="C17" s="14" t="s">
        <v>34</v>
      </c>
      <c r="D17" s="86" t="s">
        <v>22</v>
      </c>
      <c r="E17" s="87"/>
      <c r="F17" s="51" t="str">
        <f t="shared" ref="F17:F33" si="0">H18</f>
        <v/>
      </c>
      <c r="G17" s="45" t="str">
        <f t="shared" ref="G17:G33" si="1">I18</f>
        <v/>
      </c>
      <c r="H17" s="47" t="str">
        <f>IF(($C$13&gt;5)*($C$13&lt;9.6)*($D$13&gt;=480)*($D$13&lt;=529),"ST01AL02A","")</f>
        <v/>
      </c>
      <c r="I17" s="48" t="str">
        <f>IF(($C$13&gt;5)*($C$13&lt;9.6)*($D$13&gt;=480)*($D$13&lt;=529),"ST01AL02B","")</f>
        <v/>
      </c>
    </row>
    <row r="18" spans="1:11">
      <c r="A18" s="98"/>
      <c r="B18" s="16" t="s">
        <v>28</v>
      </c>
      <c r="C18" s="14" t="s">
        <v>23</v>
      </c>
      <c r="D18" s="86" t="s">
        <v>25</v>
      </c>
      <c r="E18" s="87"/>
      <c r="F18" s="51" t="str">
        <f t="shared" si="0"/>
        <v/>
      </c>
      <c r="G18" s="45" t="str">
        <f t="shared" si="1"/>
        <v/>
      </c>
      <c r="H18" s="47" t="str">
        <f>IF(($C$13&gt;=9.6)*($C$13&lt;16)*($D$13&gt;=480)*($D$13&lt;=529),"ST01AM02A","")</f>
        <v/>
      </c>
      <c r="I18" s="48" t="str">
        <f>IF(($C$13&gt;=9.6)*($C$13&lt;16)*($D$13&gt;=480)*($D$13&lt;=529),"ST01AM02B","")</f>
        <v/>
      </c>
    </row>
    <row r="19" spans="1:11">
      <c r="A19" s="98"/>
      <c r="B19" s="16" t="s">
        <v>29</v>
      </c>
      <c r="C19" s="14" t="s">
        <v>24</v>
      </c>
      <c r="D19" s="86" t="s">
        <v>25</v>
      </c>
      <c r="E19" s="87"/>
      <c r="F19" s="51" t="str">
        <f t="shared" si="0"/>
        <v/>
      </c>
      <c r="G19" s="45" t="str">
        <f t="shared" si="1"/>
        <v/>
      </c>
      <c r="H19" s="47" t="str">
        <f>IF(($C$13&gt;4.5)*($C$13&lt;8.7)*($D$13&gt;=530)*($D$13&lt;=589),"ST02AL02A","")</f>
        <v/>
      </c>
      <c r="I19" s="48" t="str">
        <f>IF(($C$13&gt;4.5)*($C$13&lt;8.7)*($D$13&gt;=530)*($D$13&lt;=589),"ST02AL02B","")</f>
        <v/>
      </c>
      <c r="J19" s="22"/>
      <c r="K19" s="22"/>
    </row>
    <row r="20" spans="1:11">
      <c r="A20" s="98"/>
      <c r="B20" s="16" t="s">
        <v>30</v>
      </c>
      <c r="C20" s="14" t="s">
        <v>33</v>
      </c>
      <c r="D20" s="86" t="s">
        <v>32</v>
      </c>
      <c r="E20" s="87"/>
      <c r="F20" s="51" t="str">
        <f t="shared" si="0"/>
        <v/>
      </c>
      <c r="G20" s="45" t="str">
        <f t="shared" si="1"/>
        <v/>
      </c>
      <c r="H20" s="47" t="str">
        <f>IF(($C$13&gt;=8.7)*($C$13&lt;14.4)*($D$13&gt;=530)*($D$13&lt;=589),"ST02AM02A","")</f>
        <v/>
      </c>
      <c r="I20" s="48" t="str">
        <f>IF(($C$13&gt;=8.7)*($C$13&lt;14.4)*($D$13&gt;=530)*($D$13&lt;=589),"ST02AM02B","")</f>
        <v/>
      </c>
      <c r="J20" s="22"/>
      <c r="K20" s="22"/>
    </row>
    <row r="21" spans="1:11">
      <c r="A21" s="98"/>
      <c r="B21" s="16" t="s">
        <v>31</v>
      </c>
      <c r="C21" s="14" t="s">
        <v>35</v>
      </c>
      <c r="D21" s="86" t="s">
        <v>32</v>
      </c>
      <c r="E21" s="87"/>
      <c r="F21" s="51" t="str">
        <f t="shared" si="0"/>
        <v/>
      </c>
      <c r="G21" s="45" t="str">
        <f t="shared" si="1"/>
        <v/>
      </c>
      <c r="H21" s="47" t="str">
        <f>IF(($C$13&gt;4.1)*($C$13&lt;7.8)*($D$13&gt;=590)*($D$13&lt;=649),"ST03AL02A","")</f>
        <v/>
      </c>
      <c r="I21" s="48" t="str">
        <f>IF(($C$13&gt;4.1)*($C$13&lt;7.8)*($D$13&gt;=590)*($D$13&lt;=649),"ST03AL02B","")</f>
        <v/>
      </c>
      <c r="J21" s="22"/>
      <c r="K21" s="22"/>
    </row>
    <row r="22" spans="1:11">
      <c r="A22" s="98"/>
      <c r="B22" s="16" t="s">
        <v>36</v>
      </c>
      <c r="C22" s="14" t="s">
        <v>39</v>
      </c>
      <c r="D22" s="86" t="s">
        <v>51</v>
      </c>
      <c r="E22" s="87"/>
      <c r="F22" s="51" t="str">
        <f t="shared" si="0"/>
        <v/>
      </c>
      <c r="G22" s="45" t="str">
        <f t="shared" si="1"/>
        <v/>
      </c>
      <c r="H22" s="47" t="str">
        <f>IF(($C$13&gt;=7.8)*($C$13&lt;13)*($D$13&gt;=590)*($D$13&lt;=649),"ST03AM02A","")</f>
        <v/>
      </c>
      <c r="I22" s="48" t="str">
        <f>IF(($C$13&gt;=7.8)*($C$13&lt;13)*($D$13&gt;=590)*($D$13&lt;=649),"ST03AM02B","")</f>
        <v/>
      </c>
      <c r="J22" s="22"/>
      <c r="K22" s="22"/>
    </row>
    <row r="23" spans="1:11">
      <c r="A23" s="98"/>
      <c r="B23" s="16" t="s">
        <v>37</v>
      </c>
      <c r="C23" s="14" t="s">
        <v>40</v>
      </c>
      <c r="D23" s="86" t="s">
        <v>51</v>
      </c>
      <c r="E23" s="87"/>
      <c r="F23" s="51" t="str">
        <f t="shared" si="0"/>
        <v/>
      </c>
      <c r="G23" s="45" t="str">
        <f t="shared" si="1"/>
        <v/>
      </c>
      <c r="H23" s="47" t="str">
        <f>IF(($C$13&gt;3.7)*($C$13&lt;7)*($D$13&gt;=650)*($D$13&lt;=729),"ST04AL02A","")</f>
        <v/>
      </c>
      <c r="I23" s="48" t="str">
        <f>IF(($C$13&gt;3.7)*($C$13&lt;7)*($D$13&gt;=650)*($D$13&lt;=729),"ST04AL02B","")</f>
        <v/>
      </c>
      <c r="J23" s="22"/>
      <c r="K23" s="22"/>
    </row>
    <row r="24" spans="1:11">
      <c r="A24" s="98"/>
      <c r="B24" s="19" t="s">
        <v>38</v>
      </c>
      <c r="C24" s="14" t="s">
        <v>41</v>
      </c>
      <c r="D24" s="86" t="s">
        <v>51</v>
      </c>
      <c r="E24" s="87"/>
      <c r="F24" s="51" t="str">
        <f t="shared" si="0"/>
        <v>ST04AH02A</v>
      </c>
      <c r="G24" s="45" t="str">
        <f t="shared" si="1"/>
        <v>ST04AH02B</v>
      </c>
      <c r="H24" s="47" t="str">
        <f>IF(($C$13&gt;=7)*($C$13&lt;11.5)*($D$13&gt;=650)*($D$13&lt;=729),"ST04AM02A","")</f>
        <v/>
      </c>
      <c r="I24" s="48" t="str">
        <f>IF(($C$13&gt;=7)*($C$13&lt;11.5)*($D$13&gt;=650)*($D$13&lt;=729),"ST04AM02B","")</f>
        <v/>
      </c>
      <c r="J24" s="22"/>
      <c r="K24" s="22"/>
    </row>
    <row r="25" spans="1:11">
      <c r="A25" s="141"/>
      <c r="B25" s="16" t="s">
        <v>42</v>
      </c>
      <c r="C25" s="14" t="s">
        <v>45</v>
      </c>
      <c r="D25" s="86" t="s">
        <v>52</v>
      </c>
      <c r="E25" s="87"/>
      <c r="F25" s="51" t="str">
        <f t="shared" si="0"/>
        <v/>
      </c>
      <c r="G25" s="45" t="str">
        <f t="shared" si="1"/>
        <v/>
      </c>
      <c r="H25" s="47" t="str">
        <f>IF(($C$13&gt;=11.5)*($C$13&lt;19.8)*($D$13&gt;=650)*($D$13&lt;=729),"ST04AH02A","")</f>
        <v>ST04AH02A</v>
      </c>
      <c r="I25" s="48" t="str">
        <f>IF(($C$13&gt;=11.5)*($C$13&lt;19.8)*($D$13&gt;=650)*($D$13&lt;=729),"ST04AH02B","")</f>
        <v>ST04AH02B</v>
      </c>
      <c r="J25" s="22"/>
      <c r="K25" s="22"/>
    </row>
    <row r="26" spans="1:11">
      <c r="A26" s="98"/>
      <c r="B26" s="16" t="s">
        <v>43</v>
      </c>
      <c r="C26" s="14" t="s">
        <v>46</v>
      </c>
      <c r="D26" s="86" t="s">
        <v>52</v>
      </c>
      <c r="E26" s="87"/>
      <c r="F26" s="51" t="str">
        <f t="shared" si="0"/>
        <v/>
      </c>
      <c r="G26" s="45" t="str">
        <f t="shared" si="1"/>
        <v/>
      </c>
      <c r="H26" s="47" t="str">
        <f>IF(($C$13&gt;3.2)*($C$13&lt;6.3)*($D$13&gt;=730)*($D$13&lt;=799),"ST05AL02A","")</f>
        <v/>
      </c>
      <c r="I26" s="48" t="str">
        <f>IF(($C$13&gt;3.2)*($C$13&lt;6.3)*($D$13&gt;=730)*($D$13&lt;=799),"ST05AL02B","")</f>
        <v/>
      </c>
      <c r="J26" s="22"/>
      <c r="K26" s="22"/>
    </row>
    <row r="27" spans="1:11">
      <c r="A27" s="98"/>
      <c r="B27" s="19" t="s">
        <v>44</v>
      </c>
      <c r="C27" s="14" t="s">
        <v>47</v>
      </c>
      <c r="D27" s="86" t="s">
        <v>52</v>
      </c>
      <c r="E27" s="87"/>
      <c r="F27" s="51" t="str">
        <f t="shared" si="0"/>
        <v/>
      </c>
      <c r="G27" s="45" t="str">
        <f t="shared" si="1"/>
        <v/>
      </c>
      <c r="H27" s="47" t="str">
        <f>IF(($C$13&gt;=6.3)*($C$13&lt;10.5)*($D$13&gt;=730)*($D$13&lt;=799),"ST05AM02A","")</f>
        <v/>
      </c>
      <c r="I27" s="48" t="str">
        <f>IF(($C$13&gt;=6.3)*($C$13&lt;10.5)*($D$13&gt;=730)*($D$13&lt;=799),"ST05AM02B","")</f>
        <v/>
      </c>
    </row>
    <row r="28" spans="1:11">
      <c r="A28" s="98"/>
      <c r="B28" s="16" t="s">
        <v>48</v>
      </c>
      <c r="C28" s="14" t="s">
        <v>63</v>
      </c>
      <c r="D28" s="86" t="s">
        <v>53</v>
      </c>
      <c r="E28" s="87"/>
      <c r="F28" s="51" t="str">
        <f t="shared" si="0"/>
        <v/>
      </c>
      <c r="G28" s="45" t="str">
        <f t="shared" si="1"/>
        <v/>
      </c>
      <c r="H28" s="47" t="str">
        <f>IF(($C$13&gt;=10.5)*($C$13&lt;18.1)*($D$13&gt;=730)*($D$13&lt;=799),"ST05AH02A","")</f>
        <v/>
      </c>
      <c r="I28" s="48" t="str">
        <f>IF(($C$13&gt;=10.5)*($C$13&lt;18.1)*($D$13&gt;=730)*($D$13&lt;=799),"ST05AH02B","")</f>
        <v/>
      </c>
    </row>
    <row r="29" spans="1:11">
      <c r="A29" s="98"/>
      <c r="B29" s="19" t="s">
        <v>49</v>
      </c>
      <c r="C29" s="14" t="s">
        <v>50</v>
      </c>
      <c r="D29" s="86" t="s">
        <v>53</v>
      </c>
      <c r="E29" s="87"/>
      <c r="F29" s="51" t="str">
        <f t="shared" si="0"/>
        <v/>
      </c>
      <c r="G29" s="45" t="str">
        <f t="shared" si="1"/>
        <v/>
      </c>
      <c r="H29" s="47" t="str">
        <f>IF(($C$13&gt;5.8)*($C$13&lt;9.5)*($D$13&gt;=800)*($D$13&lt;=879),"ST06AM02A","")</f>
        <v/>
      </c>
      <c r="I29" s="48" t="str">
        <f>IF(($C$13&gt;5.8)*($C$13&lt;9.5)*($D$13&gt;=800)*($D$13&lt;=879),"ST06AM02B","")</f>
        <v/>
      </c>
    </row>
    <row r="30" spans="1:11">
      <c r="A30" s="98"/>
      <c r="B30" s="16" t="s">
        <v>54</v>
      </c>
      <c r="C30" s="14" t="s">
        <v>56</v>
      </c>
      <c r="D30" s="86" t="s">
        <v>58</v>
      </c>
      <c r="E30" s="87"/>
      <c r="F30" s="51" t="str">
        <f t="shared" si="0"/>
        <v/>
      </c>
      <c r="G30" s="45" t="str">
        <f t="shared" si="1"/>
        <v/>
      </c>
      <c r="H30" s="47" t="str">
        <f>IF(($C$13&gt;=9.5)*($C$13&lt;16.5)*($D$13&gt;=800)*($D$13&lt;=879),"ST06AH02A","")</f>
        <v/>
      </c>
      <c r="I30" s="48" t="str">
        <f>IF(($C$13&gt;=9.5)*($C$13&lt;16.5)*($D$13&gt;=800)*($D$13&lt;=879),"ST06AH02B","")</f>
        <v/>
      </c>
    </row>
    <row r="31" spans="1:11">
      <c r="A31" s="98"/>
      <c r="B31" s="19" t="s">
        <v>55</v>
      </c>
      <c r="C31" s="14" t="s">
        <v>57</v>
      </c>
      <c r="D31" s="86" t="s">
        <v>58</v>
      </c>
      <c r="E31" s="87"/>
      <c r="F31" s="51" t="str">
        <f t="shared" si="0"/>
        <v/>
      </c>
      <c r="G31" s="45" t="str">
        <f t="shared" si="1"/>
        <v/>
      </c>
      <c r="H31" s="47" t="str">
        <f>IF(($C$13&gt;5.2)*($C$13&lt;8.7)*($D$13&gt;=880)*($D$13&lt;=959),"ST07AM02A","")</f>
        <v/>
      </c>
      <c r="I31" s="48" t="str">
        <f>IF(($C$13&gt;5.2)*($C$13&lt;8.7)*($D$13&gt;=880)*($D$13&lt;=959),"ST07AM02B","")</f>
        <v/>
      </c>
    </row>
    <row r="32" spans="1:11">
      <c r="A32" s="98"/>
      <c r="B32" s="19" t="s">
        <v>64</v>
      </c>
      <c r="C32" s="14" t="s">
        <v>65</v>
      </c>
      <c r="D32" s="86" t="s">
        <v>61</v>
      </c>
      <c r="E32" s="87"/>
      <c r="F32" s="51" t="str">
        <f t="shared" si="0"/>
        <v/>
      </c>
      <c r="G32" s="45" t="str">
        <f t="shared" si="1"/>
        <v/>
      </c>
      <c r="H32" s="47" t="str">
        <f>IF(($C$13&gt;=8.7)*($C$13&lt;15.1)*($D$13&gt;=880)*($D$13&lt;=959),"ST07AH02A","")</f>
        <v/>
      </c>
      <c r="I32" s="48" t="str">
        <f>IF(($C$13&gt;=8.7)*($C$13&lt;15.1)*($D$13&gt;=880)*($D$13&lt;=959),"ST07AH02B","")</f>
        <v/>
      </c>
    </row>
    <row r="33" spans="1:9" ht="15.75" thickBot="1">
      <c r="A33" s="98"/>
      <c r="B33" s="19" t="s">
        <v>59</v>
      </c>
      <c r="C33" s="14" t="s">
        <v>60</v>
      </c>
      <c r="D33" s="86" t="s">
        <v>61</v>
      </c>
      <c r="E33" s="87"/>
      <c r="F33" s="52" t="str">
        <f t="shared" si="0"/>
        <v/>
      </c>
      <c r="G33" s="46" t="str">
        <f t="shared" si="1"/>
        <v/>
      </c>
      <c r="H33" s="47" t="str">
        <f>IF(($C$13&gt;4.8)*($C$13&lt;8)*($D$13&gt;=960)*($D$13&lt;=1040),"ST08AM02A","")</f>
        <v/>
      </c>
      <c r="I33" s="48" t="str">
        <f>IF(($C$13&gt;4.8)*($C$13&lt;8)*($D$13&gt;=960)*($D$13&lt;=1040),"ST08AM02B","")</f>
        <v/>
      </c>
    </row>
    <row r="34" spans="1:9">
      <c r="A34" s="80" t="s">
        <v>105</v>
      </c>
      <c r="B34" s="81"/>
      <c r="C34" s="81"/>
      <c r="D34" s="81"/>
      <c r="E34" s="82"/>
      <c r="H34" s="47" t="str">
        <f>IF(($C$13&gt;=8)*($C$13&lt;13.9)*($D$13&gt;=960)*($D$13&lt;=1040),"ST08AH02A","")</f>
        <v/>
      </c>
      <c r="I34" s="48" t="str">
        <f>IF(($C$13&gt;=8)*($C$13&lt;13.9)*($D$13&gt;=960)*($D$13&lt;=1040),"ST08AH02B","")</f>
        <v/>
      </c>
    </row>
    <row r="35" spans="1:9" ht="15.75" thickBot="1">
      <c r="A35" s="83"/>
      <c r="B35" s="84"/>
      <c r="C35" s="84"/>
      <c r="D35" s="84"/>
      <c r="E35" s="85"/>
      <c r="I35" s="22"/>
    </row>
    <row r="36" spans="1:9">
      <c r="I36" s="22"/>
    </row>
    <row r="37" spans="1:9">
      <c r="I37" s="22"/>
    </row>
  </sheetData>
  <mergeCells count="33">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16:E16"/>
    <mergeCell ref="D29:E29"/>
    <mergeCell ref="F14:G14"/>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s>
  <phoneticPr fontId="14"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49CDA-6F4E-4A93-8BBD-146887EB7829}">
  <dimension ref="A1:L41"/>
  <sheetViews>
    <sheetView topLeftCell="A17" workbookViewId="0">
      <selection activeCell="H40" sqref="H40"/>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5" t="s">
        <v>119</v>
      </c>
      <c r="B1" s="89"/>
      <c r="C1" s="89"/>
      <c r="D1" s="89"/>
      <c r="E1" s="89"/>
      <c r="F1" s="89"/>
      <c r="G1" s="90"/>
      <c r="J1" s="109" t="s">
        <v>143</v>
      </c>
      <c r="K1" s="109"/>
      <c r="L1" s="13">
        <v>2</v>
      </c>
    </row>
    <row r="2" spans="1:12" ht="19.899999999999999" customHeight="1">
      <c r="A2" s="91"/>
      <c r="B2" s="92"/>
      <c r="C2" s="92"/>
      <c r="D2" s="92"/>
      <c r="E2" s="92"/>
      <c r="F2" s="92"/>
      <c r="G2" s="93"/>
    </row>
    <row r="3" spans="1:12" ht="19.899999999999999" customHeight="1">
      <c r="A3" s="91"/>
      <c r="B3" s="92"/>
      <c r="C3" s="92"/>
      <c r="D3" s="92"/>
      <c r="E3" s="92"/>
      <c r="F3" s="92"/>
      <c r="G3" s="93"/>
    </row>
    <row r="4" spans="1:12" ht="19.899999999999999" customHeight="1">
      <c r="A4" s="91"/>
      <c r="B4" s="92"/>
      <c r="C4" s="92"/>
      <c r="D4" s="92"/>
      <c r="E4" s="92"/>
      <c r="F4" s="92"/>
      <c r="G4" s="93"/>
    </row>
    <row r="5" spans="1:12" ht="19.899999999999999" customHeight="1">
      <c r="A5" s="91"/>
      <c r="B5" s="92"/>
      <c r="C5" s="92"/>
      <c r="D5" s="92"/>
      <c r="E5" s="92"/>
      <c r="F5" s="92"/>
      <c r="G5" s="93"/>
    </row>
    <row r="6" spans="1:12" ht="19.899999999999999" customHeight="1">
      <c r="A6" s="91"/>
      <c r="B6" s="92"/>
      <c r="C6" s="92"/>
      <c r="D6" s="92"/>
      <c r="E6" s="92"/>
      <c r="F6" s="92"/>
      <c r="G6" s="93"/>
    </row>
    <row r="7" spans="1:12" ht="19.899999999999999" customHeight="1" thickBot="1">
      <c r="A7" s="91"/>
      <c r="B7" s="92"/>
      <c r="C7" s="92"/>
      <c r="D7" s="92"/>
      <c r="E7" s="92"/>
      <c r="F7" s="92"/>
      <c r="G7" s="93"/>
      <c r="I7" s="1" t="s">
        <v>95</v>
      </c>
      <c r="J7" s="1" t="s">
        <v>92</v>
      </c>
      <c r="K7" s="1" t="s">
        <v>93</v>
      </c>
      <c r="L7" s="1" t="s">
        <v>94</v>
      </c>
    </row>
    <row r="8" spans="1:12" ht="30" customHeight="1">
      <c r="A8" s="144">
        <v>1</v>
      </c>
      <c r="B8" s="147" t="s">
        <v>224</v>
      </c>
      <c r="C8" s="147"/>
      <c r="D8" s="147"/>
      <c r="E8" s="147"/>
      <c r="F8" s="147"/>
      <c r="G8" s="148"/>
      <c r="I8" s="1" t="s">
        <v>96</v>
      </c>
      <c r="J8" s="12">
        <v>10.9</v>
      </c>
      <c r="K8" s="12">
        <f>B10*C10/1000000*J8+E10/1000</f>
        <v>2.7749999999999999</v>
      </c>
      <c r="L8" s="13" t="s">
        <v>4</v>
      </c>
    </row>
    <row r="9" spans="1:12" ht="19.899999999999999" customHeight="1">
      <c r="A9" s="145"/>
      <c r="B9" s="53" t="s">
        <v>223</v>
      </c>
      <c r="C9" s="53" t="s">
        <v>222</v>
      </c>
      <c r="D9" s="156" t="s">
        <v>0</v>
      </c>
      <c r="E9" s="68" t="s">
        <v>142</v>
      </c>
      <c r="F9" s="158"/>
      <c r="G9" s="159"/>
      <c r="I9" s="1" t="s">
        <v>97</v>
      </c>
      <c r="J9" s="12">
        <v>12.2</v>
      </c>
      <c r="K9" s="12">
        <f>B10*C10/1000000*J9+E10/1000</f>
        <v>3.0999999999999996</v>
      </c>
      <c r="L9" s="12">
        <f>IF(L1=2,K9,L10)</f>
        <v>3.0999999999999996</v>
      </c>
    </row>
    <row r="10" spans="1:12" ht="30" customHeight="1" thickBot="1">
      <c r="A10" s="146"/>
      <c r="B10" s="69">
        <v>500</v>
      </c>
      <c r="C10" s="69">
        <v>500</v>
      </c>
      <c r="D10" s="157"/>
      <c r="E10" s="69">
        <v>50</v>
      </c>
      <c r="F10" s="160"/>
      <c r="G10" s="161"/>
      <c r="I10" s="1" t="s">
        <v>98</v>
      </c>
      <c r="J10" s="12">
        <v>12.1</v>
      </c>
      <c r="K10" s="12">
        <f>B10*C10/1000000*J10+E10/1000</f>
        <v>3.0749999999999997</v>
      </c>
      <c r="L10" s="12">
        <f>IF(L1=3,K10,L11)</f>
        <v>0</v>
      </c>
    </row>
    <row r="11" spans="1:12" ht="40.15" customHeight="1">
      <c r="A11" s="144">
        <v>2</v>
      </c>
      <c r="B11" s="147" t="s">
        <v>221</v>
      </c>
      <c r="C11" s="147"/>
      <c r="D11" s="147"/>
      <c r="E11" s="147"/>
      <c r="F11" s="147"/>
      <c r="G11" s="148"/>
      <c r="I11" s="1" t="s">
        <v>99</v>
      </c>
      <c r="J11" s="12">
        <v>14.5</v>
      </c>
      <c r="K11" s="12">
        <f>B10*C10/1000000*J11+E10/1000</f>
        <v>3.6749999999999998</v>
      </c>
      <c r="L11" s="12">
        <f>IF(L1=4,K11,L12)</f>
        <v>0</v>
      </c>
    </row>
    <row r="12" spans="1:12" ht="19.899999999999999" customHeight="1">
      <c r="A12" s="145"/>
      <c r="B12" s="149"/>
      <c r="C12" s="53" t="s">
        <v>103</v>
      </c>
      <c r="D12" s="151" t="s">
        <v>111</v>
      </c>
      <c r="E12" s="151"/>
      <c r="F12" s="151"/>
      <c r="G12" s="152"/>
      <c r="I12" s="1" t="s">
        <v>114</v>
      </c>
      <c r="J12" s="12">
        <v>16.5</v>
      </c>
      <c r="K12" s="12">
        <f>B10*C10/1000000*J12+E10/1000</f>
        <v>4.1749999999999998</v>
      </c>
      <c r="L12" s="12">
        <f>IF(L1=5,K12,L13)</f>
        <v>0</v>
      </c>
    </row>
    <row r="13" spans="1:12" ht="19.899999999999999" customHeight="1" thickBot="1">
      <c r="A13" s="146"/>
      <c r="B13" s="150"/>
      <c r="C13" s="54">
        <f>IF(L1=1,K8,L9)</f>
        <v>3.0999999999999996</v>
      </c>
      <c r="D13" s="155">
        <f>B10</f>
        <v>500</v>
      </c>
      <c r="E13" s="155"/>
      <c r="F13" s="153"/>
      <c r="G13" s="154"/>
      <c r="I13" s="1" t="s">
        <v>100</v>
      </c>
      <c r="J13" s="12">
        <v>11</v>
      </c>
      <c r="K13" s="12">
        <f>B10*C10/1000000*J13+E10/1000</f>
        <v>2.8</v>
      </c>
      <c r="L13" s="12">
        <f>IF(L1=6,K13,L14)</f>
        <v>0</v>
      </c>
    </row>
    <row r="14" spans="1:12" ht="60" customHeight="1">
      <c r="A14" s="77">
        <v>3</v>
      </c>
      <c r="B14" s="142" t="s">
        <v>220</v>
      </c>
      <c r="C14" s="142"/>
      <c r="D14" s="142"/>
      <c r="E14" s="142"/>
      <c r="F14" s="142"/>
      <c r="G14" s="143"/>
      <c r="H14" s="55"/>
      <c r="I14" s="1" t="s">
        <v>101</v>
      </c>
      <c r="J14" s="12">
        <v>12</v>
      </c>
      <c r="K14" s="12">
        <f>B10*C10/1000000*J14+E10/1000</f>
        <v>3.05</v>
      </c>
      <c r="L14" s="12">
        <f>IF(L1=7,K14,L15)</f>
        <v>0</v>
      </c>
    </row>
    <row r="15" spans="1:12" ht="33" customHeight="1">
      <c r="A15" s="78"/>
      <c r="B15" s="56" t="s">
        <v>219</v>
      </c>
      <c r="C15" s="53" t="s">
        <v>103</v>
      </c>
      <c r="D15" s="151" t="s">
        <v>111</v>
      </c>
      <c r="E15" s="151"/>
      <c r="F15" s="57" t="s">
        <v>218</v>
      </c>
      <c r="G15" s="58" t="s">
        <v>217</v>
      </c>
      <c r="H15" s="59"/>
      <c r="I15" s="1" t="s">
        <v>115</v>
      </c>
      <c r="J15" s="12">
        <v>15</v>
      </c>
      <c r="K15" s="12">
        <f>B10*C10/1000000*J15+E10/1000</f>
        <v>3.8</v>
      </c>
      <c r="L15" s="12">
        <f>IF(L1=8,K15,L16)</f>
        <v>0</v>
      </c>
    </row>
    <row r="16" spans="1:12" ht="15" customHeight="1">
      <c r="A16" s="78"/>
      <c r="B16" s="60" t="s">
        <v>147</v>
      </c>
      <c r="C16" s="14" t="s">
        <v>120</v>
      </c>
      <c r="D16" s="86" t="s">
        <v>121</v>
      </c>
      <c r="E16" s="86"/>
      <c r="F16" s="61" t="str">
        <f t="shared" ref="F16:F31" si="0">I18</f>
        <v/>
      </c>
      <c r="G16" s="62" t="str">
        <f t="shared" ref="G16:G31" si="1">J18</f>
        <v/>
      </c>
      <c r="H16" s="47"/>
      <c r="I16" s="1" t="s">
        <v>102</v>
      </c>
      <c r="J16" s="12">
        <v>11.2</v>
      </c>
      <c r="K16" s="12">
        <f>B10*C10/1000000*J16+E10/1000</f>
        <v>2.8499999999999996</v>
      </c>
      <c r="L16" s="12">
        <f>IF(L1=9,K16,L18)</f>
        <v>0</v>
      </c>
    </row>
    <row r="17" spans="1:12" ht="15" customHeight="1">
      <c r="A17" s="78"/>
      <c r="B17" s="60" t="s">
        <v>147</v>
      </c>
      <c r="C17" s="14" t="s">
        <v>122</v>
      </c>
      <c r="D17" s="86" t="s">
        <v>123</v>
      </c>
      <c r="E17" s="86"/>
      <c r="F17" s="61" t="str">
        <f t="shared" si="0"/>
        <v/>
      </c>
      <c r="G17" s="62" t="str">
        <f t="shared" si="1"/>
        <v/>
      </c>
      <c r="H17" s="47"/>
      <c r="J17" s="63"/>
      <c r="K17" s="63"/>
      <c r="L17" s="63"/>
    </row>
    <row r="18" spans="1:12" ht="15" customHeight="1">
      <c r="A18" s="78"/>
      <c r="B18" s="60" t="s">
        <v>148</v>
      </c>
      <c r="C18" s="14" t="s">
        <v>124</v>
      </c>
      <c r="D18" s="86" t="s">
        <v>121</v>
      </c>
      <c r="E18" s="86"/>
      <c r="F18" s="61" t="str">
        <f t="shared" si="0"/>
        <v/>
      </c>
      <c r="G18" s="62" t="str">
        <f t="shared" si="1"/>
        <v/>
      </c>
      <c r="H18" s="47"/>
      <c r="I18" s="47" t="str">
        <f>IF(C13&lt;1.3,"the door is too light",IF(($C$13&gt;1.3)*($C$13&lt;4.2)*($D$13&gt;=300)*($D$13&lt;=349),"SK00AD02A",""))</f>
        <v/>
      </c>
      <c r="J18" s="48" t="str">
        <f>IF(C13&lt;1.3," the door is too light",IF(($C$13&gt;1.3)*($C$13&lt;4.2)*($D$13&gt;=300)*($D$13&lt;=349),"SK00AD02B",""))</f>
        <v/>
      </c>
    </row>
    <row r="19" spans="1:12" ht="15" customHeight="1">
      <c r="A19" s="78"/>
      <c r="B19" s="60" t="s">
        <v>148</v>
      </c>
      <c r="C19" s="14" t="s">
        <v>125</v>
      </c>
      <c r="D19" s="86" t="s">
        <v>123</v>
      </c>
      <c r="E19" s="86"/>
      <c r="F19" s="61" t="str">
        <f t="shared" si="0"/>
        <v/>
      </c>
      <c r="G19" s="62" t="str">
        <f t="shared" si="1"/>
        <v/>
      </c>
      <c r="H19" s="47"/>
      <c r="I19" s="47" t="str">
        <f>IF(($C$13&gt;1.5)*($C$13&lt;2.5)*($D$13&gt;=350)*($D$13&lt;=399),"SK00AD02A","")</f>
        <v/>
      </c>
      <c r="J19" s="48" t="str">
        <f>IF(($C$13&gt;1.5)*($C$13&lt;2.5)*($D$13&gt;=350)*($D$13&lt;=399),"SK00AD02B","")</f>
        <v/>
      </c>
    </row>
    <row r="20" spans="1:12" ht="15" customHeight="1">
      <c r="A20" s="78"/>
      <c r="B20" s="60" t="s">
        <v>148</v>
      </c>
      <c r="C20" s="14" t="s">
        <v>126</v>
      </c>
      <c r="D20" s="86" t="s">
        <v>127</v>
      </c>
      <c r="E20" s="86"/>
      <c r="F20" s="61" t="str">
        <f t="shared" si="0"/>
        <v>SK00AL02A</v>
      </c>
      <c r="G20" s="62" t="str">
        <f t="shared" si="1"/>
        <v>SK00AL02B</v>
      </c>
      <c r="H20" s="47"/>
      <c r="I20" s="47" t="str">
        <f>IF(($C$13&gt;3.5)*($C$13&lt;7.2)*($D$13&gt;=300)*($D$13&lt;=349),"SK00AL02A","")</f>
        <v/>
      </c>
      <c r="J20" s="48" t="str">
        <f>IF(($C$13&gt;3.5)*($C$13&lt;7.2)*($D$13&gt;=300)*($D$13&lt;=349),"SK00AL02B","")</f>
        <v/>
      </c>
    </row>
    <row r="21" spans="1:12" ht="15" customHeight="1">
      <c r="A21" s="78"/>
      <c r="B21" s="60" t="s">
        <v>149</v>
      </c>
      <c r="C21" s="14" t="s">
        <v>128</v>
      </c>
      <c r="D21" s="86" t="s">
        <v>121</v>
      </c>
      <c r="E21" s="86"/>
      <c r="F21" s="61" t="str">
        <f t="shared" si="0"/>
        <v/>
      </c>
      <c r="G21" s="62" t="str">
        <f t="shared" si="1"/>
        <v/>
      </c>
      <c r="H21" s="47"/>
      <c r="I21" s="47" t="str">
        <f>IF(($C$13&gt;2.5)*($C$13&lt;5)*($D$13&gt;=350)*($D$13&lt;=399),"SK00AL02A","")</f>
        <v/>
      </c>
      <c r="J21" s="48" t="str">
        <f>IF(($C$13&gt;2.5)*($C$13&lt;5)*($D$13&gt;=350)*($D$13&lt;=399),"SK00AL02B","")</f>
        <v/>
      </c>
    </row>
    <row r="22" spans="1:12" ht="15" customHeight="1">
      <c r="A22" s="78"/>
      <c r="B22" s="60" t="s">
        <v>149</v>
      </c>
      <c r="C22" s="14" t="s">
        <v>129</v>
      </c>
      <c r="D22" s="86" t="s">
        <v>123</v>
      </c>
      <c r="E22" s="86"/>
      <c r="F22" s="61" t="str">
        <f t="shared" si="0"/>
        <v/>
      </c>
      <c r="G22" s="62" t="str">
        <f t="shared" si="1"/>
        <v/>
      </c>
      <c r="H22" s="47"/>
      <c r="I22" s="47" t="str">
        <f>IF(($C$13&gt;2)*($C$13&lt;3.5)*($D$13&gt;=400)*($D$13&lt;=550),"SK00AL02A","")</f>
        <v>SK00AL02A</v>
      </c>
      <c r="J22" s="48" t="str">
        <f>IF(($C$13&gt;2)*($C$13&lt;3.5)*($D$13&gt;=400)*($D$13&lt;=550),"SK00AL02B","")</f>
        <v>SK00AL02B</v>
      </c>
    </row>
    <row r="23" spans="1:12" ht="15" customHeight="1">
      <c r="A23" s="78"/>
      <c r="B23" s="60" t="s">
        <v>149</v>
      </c>
      <c r="C23" s="14" t="s">
        <v>130</v>
      </c>
      <c r="D23" s="86" t="s">
        <v>127</v>
      </c>
      <c r="E23" s="86"/>
      <c r="F23" s="61" t="str">
        <f t="shared" si="0"/>
        <v>SK00AM02A</v>
      </c>
      <c r="G23" s="62" t="str">
        <f t="shared" si="1"/>
        <v>SK00AM02B</v>
      </c>
      <c r="H23" s="47"/>
      <c r="I23" s="47" t="str">
        <f>IF(($C$13&gt;6.5)*($C$13&lt;12)*($D$13&gt;=300)*($D$13&lt;=349),"SK00AM02A","")</f>
        <v/>
      </c>
      <c r="J23" s="48" t="str">
        <f>IF(($C$13&gt;6.5)*($C$13&lt;12)*($D$13&gt;=300)*($D$13&lt;=349),"SK00AM02B","")</f>
        <v/>
      </c>
    </row>
    <row r="24" spans="1:12" ht="15" customHeight="1">
      <c r="A24" s="78"/>
      <c r="B24" s="60" t="s">
        <v>149</v>
      </c>
      <c r="C24" s="14" t="s">
        <v>131</v>
      </c>
      <c r="D24" s="86" t="s">
        <v>132</v>
      </c>
      <c r="E24" s="86"/>
      <c r="F24" s="61" t="str">
        <f t="shared" si="0"/>
        <v>SK00AM02A</v>
      </c>
      <c r="G24" s="62" t="str">
        <f t="shared" si="1"/>
        <v>SK00AM02B</v>
      </c>
      <c r="H24" s="47"/>
      <c r="I24" s="47" t="str">
        <f>IF(($C$13&gt;4.5)*($C$13&lt;9)*($D$13&gt;=350)*($D$13&lt;=399),"SK00AM02A","")</f>
        <v/>
      </c>
      <c r="J24" s="48" t="str">
        <f>IF(($C$13&gt;4.5)*($C$13&lt;9)*($D$13&gt;=350)*($D$13&lt;=399),"SK00AM02B","")</f>
        <v/>
      </c>
    </row>
    <row r="25" spans="1:12" ht="15" customHeight="1">
      <c r="A25" s="78"/>
      <c r="B25" s="60" t="s">
        <v>150</v>
      </c>
      <c r="C25" s="14" t="s">
        <v>133</v>
      </c>
      <c r="D25" s="86" t="s">
        <v>121</v>
      </c>
      <c r="E25" s="86"/>
      <c r="F25" s="61" t="str">
        <f t="shared" si="0"/>
        <v/>
      </c>
      <c r="G25" s="62" t="str">
        <f t="shared" si="1"/>
        <v/>
      </c>
      <c r="H25" s="47"/>
      <c r="I25" s="47" t="str">
        <f>IF(($C$13&gt;2.8)*($C$13&lt;6.5)*($D$13&gt;=400)*($D$13&lt;=550),"SK00AM02A","")</f>
        <v>SK00AM02A</v>
      </c>
      <c r="J25" s="48" t="str">
        <f>IF(($C$13&gt;2.8)*($C$13&lt;6.5)*($D$13&gt;=400)*($D$13&lt;=550),"SK00AM02B","")</f>
        <v>SK00AM02B</v>
      </c>
      <c r="K25" s="22"/>
      <c r="L25" s="22"/>
    </row>
    <row r="26" spans="1:12" ht="15" customHeight="1">
      <c r="A26" s="78"/>
      <c r="B26" s="60" t="s">
        <v>150</v>
      </c>
      <c r="C26" s="14" t="s">
        <v>134</v>
      </c>
      <c r="D26" s="86" t="s">
        <v>123</v>
      </c>
      <c r="E26" s="86"/>
      <c r="F26" s="61" t="str">
        <f t="shared" si="0"/>
        <v/>
      </c>
      <c r="G26" s="62" t="str">
        <f t="shared" si="1"/>
        <v/>
      </c>
      <c r="H26" s="47"/>
      <c r="I26" s="47" t="str">
        <f>IF(($C$13&gt;2)*($C$13&lt;5.2)*($D$13&gt;=450)*($D$13&lt;=580),"SK00AM02A","")</f>
        <v>SK00AM02A</v>
      </c>
      <c r="J26" s="47" t="str">
        <f>IF(($C$13&gt;2)*($C$13&lt;5.2)*($D$13&gt;=450)*($D$13&lt;=580),"SK00AM02B","")</f>
        <v>SK00AM02B</v>
      </c>
      <c r="K26" s="22"/>
      <c r="L26" s="22"/>
    </row>
    <row r="27" spans="1:12" ht="15" customHeight="1">
      <c r="A27" s="78"/>
      <c r="B27" s="60" t="s">
        <v>150</v>
      </c>
      <c r="C27" s="14" t="s">
        <v>135</v>
      </c>
      <c r="D27" s="86" t="s">
        <v>127</v>
      </c>
      <c r="E27" s="86"/>
      <c r="F27" s="61" t="str">
        <f t="shared" si="0"/>
        <v/>
      </c>
      <c r="G27" s="62" t="str">
        <f t="shared" si="1"/>
        <v/>
      </c>
      <c r="H27" s="47"/>
      <c r="I27" s="47" t="str">
        <f>IF(($C$13&gt;11)*($C$13&lt;20)*($D$13&gt;=300)*($D$13&lt;=349),"SK00AH02A","")</f>
        <v/>
      </c>
      <c r="J27" s="48" t="str">
        <f>IF(($C$13&gt;11)*($C$13&lt;20)*($D$13&gt;=300)*($D$13&lt;=349),"SK00AH02B","")</f>
        <v/>
      </c>
      <c r="K27" s="22"/>
      <c r="L27" s="22"/>
    </row>
    <row r="28" spans="1:12" ht="15" customHeight="1">
      <c r="A28" s="78"/>
      <c r="B28" s="60" t="s">
        <v>150</v>
      </c>
      <c r="C28" s="14" t="s">
        <v>136</v>
      </c>
      <c r="D28" s="86" t="s">
        <v>132</v>
      </c>
      <c r="E28" s="86"/>
      <c r="F28" s="61" t="str">
        <f t="shared" si="0"/>
        <v/>
      </c>
      <c r="G28" s="62" t="str">
        <f t="shared" si="1"/>
        <v/>
      </c>
      <c r="H28" s="47"/>
      <c r="I28" s="47" t="str">
        <f>IF(($C$13&gt;8)*($C$13&lt;14.5)*($D$13&gt;=350)*($D$13&lt;=399),"SK00AH02A","")</f>
        <v/>
      </c>
      <c r="J28" s="48" t="str">
        <f>IF(($C$13&gt;8)*($C$13&lt;14.5)*($D$13&gt;=350)*($D$13&lt;=399),"SK00AH02B","")</f>
        <v/>
      </c>
      <c r="K28" s="22"/>
      <c r="L28" s="22"/>
    </row>
    <row r="29" spans="1:12" ht="15" customHeight="1">
      <c r="A29" s="78"/>
      <c r="B29" s="60" t="s">
        <v>151</v>
      </c>
      <c r="C29" s="14" t="s">
        <v>137</v>
      </c>
      <c r="D29" s="86" t="s">
        <v>123</v>
      </c>
      <c r="E29" s="86"/>
      <c r="F29" s="61" t="str">
        <f t="shared" si="0"/>
        <v/>
      </c>
      <c r="G29" s="62" t="str">
        <f t="shared" si="1"/>
        <v/>
      </c>
      <c r="H29" s="47"/>
      <c r="I29" s="47" t="str">
        <f>IF(($C$13&gt;5.8)*($C$13&lt;11.5)*($D$13&gt;=400)*($D$13&lt;=550),"SK00AH02A","")</f>
        <v/>
      </c>
      <c r="J29" s="47" t="str">
        <f>IF(($C$13&gt;5.8)*($C$13&lt;11.5)*($D$13&gt;=400)*($D$13&lt;=550),"SK00AH02B","")</f>
        <v/>
      </c>
      <c r="K29" s="22"/>
      <c r="L29" s="22"/>
    </row>
    <row r="30" spans="1:12" ht="15" customHeight="1">
      <c r="A30" s="78"/>
      <c r="B30" s="60" t="s">
        <v>151</v>
      </c>
      <c r="C30" s="14" t="s">
        <v>138</v>
      </c>
      <c r="D30" s="86" t="s">
        <v>127</v>
      </c>
      <c r="E30" s="86"/>
      <c r="F30" s="61" t="str">
        <f t="shared" si="0"/>
        <v/>
      </c>
      <c r="G30" s="62" t="str">
        <f t="shared" si="1"/>
        <v/>
      </c>
      <c r="H30" s="47"/>
      <c r="I30" s="47" t="str">
        <f>IF(($C$13&gt;4.2)*($C$13&lt;9.2)*($D$13&gt;=450)*($D$13&lt;=580),"SK00AH02A","")</f>
        <v/>
      </c>
      <c r="J30" s="47" t="str">
        <f>IF(($C$13&gt;4.2)*($C$13&lt;9.2)*($D$13&gt;=450)*($D$13&lt;=580),"SK00AH02B","")</f>
        <v/>
      </c>
      <c r="K30" s="22"/>
      <c r="L30" s="22"/>
    </row>
    <row r="31" spans="1:12" ht="15" customHeight="1" thickBot="1">
      <c r="A31" s="78"/>
      <c r="B31" s="64" t="s">
        <v>151</v>
      </c>
      <c r="C31" s="65" t="s">
        <v>139</v>
      </c>
      <c r="D31" s="164" t="s">
        <v>132</v>
      </c>
      <c r="E31" s="164"/>
      <c r="F31" s="66" t="str">
        <f t="shared" si="0"/>
        <v/>
      </c>
      <c r="G31" s="67" t="str">
        <f t="shared" si="1"/>
        <v/>
      </c>
      <c r="H31" s="47"/>
      <c r="I31" s="47" t="str">
        <f>IF(($C$13&gt;13.5)*($C$13&lt;20)*($D$13&gt;=350)*($D$13&lt;=399),"SK00AC02A","")</f>
        <v/>
      </c>
      <c r="J31" s="47" t="str">
        <f>IF(($C$13&gt;13.5)*($C$13&lt;20)*($D$13&gt;=350)*($D$13&lt;=399),"SK00AC02B","")</f>
        <v/>
      </c>
      <c r="K31" s="22"/>
      <c r="L31" s="22"/>
    </row>
    <row r="32" spans="1:12" ht="40.15" customHeight="1">
      <c r="A32" s="77">
        <v>4</v>
      </c>
      <c r="B32" s="142" t="s">
        <v>216</v>
      </c>
      <c r="C32" s="142"/>
      <c r="D32" s="142"/>
      <c r="E32" s="142"/>
      <c r="F32" s="142"/>
      <c r="G32" s="143"/>
      <c r="H32" s="48"/>
      <c r="I32" s="47" t="str">
        <f>IF(($C$13&gt;10.5)*($C$13&lt;20)*($D$13&gt;=400)*($D$13&lt;=550),"SK00AC02A","")</f>
        <v/>
      </c>
      <c r="J32" s="48" t="str">
        <f>IF(($C$13&gt;10.5)*($C$13&lt;20)*($D$13&gt;=400)*($D$13&lt;=550),"SK00AC02B","")</f>
        <v/>
      </c>
      <c r="K32" s="22"/>
      <c r="L32" s="22"/>
    </row>
    <row r="33" spans="1:12" ht="19.899999999999999" customHeight="1">
      <c r="A33" s="78"/>
      <c r="B33" s="165" t="s">
        <v>215</v>
      </c>
      <c r="C33" s="166"/>
      <c r="D33" s="151" t="s">
        <v>111</v>
      </c>
      <c r="E33" s="151"/>
      <c r="F33" s="165" t="s">
        <v>214</v>
      </c>
      <c r="G33" s="167"/>
      <c r="H33" s="48"/>
      <c r="I33" s="47" t="str">
        <f>IF(C13&gt;16.5," the door is too heavy",IF(($C$13&gt;8.3)*($C$13&lt;16.5)*($D$13&gt;=450)*($D$13&lt;=580),"SK00AC02A",""))</f>
        <v/>
      </c>
      <c r="J33" s="47" t="str">
        <f>IF(C13&gt;16.5," the door is too heavy",IF(($C$13&gt;8.3)*($C$13&lt;16.5)*($D$13&gt;=450)*($D$13&lt;=580),"SK00AC02B",""))</f>
        <v/>
      </c>
      <c r="K33" s="22"/>
      <c r="L33" s="22"/>
    </row>
    <row r="34" spans="1:12" ht="15" customHeight="1">
      <c r="A34" s="78"/>
      <c r="B34" s="168" t="s">
        <v>213</v>
      </c>
      <c r="C34" s="169"/>
      <c r="D34" s="86" t="s">
        <v>121</v>
      </c>
      <c r="E34" s="86"/>
      <c r="F34" s="178" t="str">
        <f>I35</f>
        <v/>
      </c>
      <c r="G34" s="179"/>
      <c r="H34" s="48"/>
      <c r="I34" s="47"/>
      <c r="J34" s="48"/>
      <c r="K34" s="22"/>
      <c r="L34" s="22"/>
    </row>
    <row r="35" spans="1:12" ht="15" customHeight="1">
      <c r="A35" s="78"/>
      <c r="B35" s="168" t="s">
        <v>144</v>
      </c>
      <c r="C35" s="169"/>
      <c r="D35" s="86" t="s">
        <v>123</v>
      </c>
      <c r="E35" s="86"/>
      <c r="F35" s="178" t="str">
        <f>I36</f>
        <v/>
      </c>
      <c r="G35" s="179"/>
      <c r="H35" s="48"/>
      <c r="I35" s="47" t="str">
        <f>IF(D13&lt;300,"the door is too short",IF(($D$13&gt;=300)*($D$13&lt;=349),"SK300A01",""))</f>
        <v/>
      </c>
      <c r="J35" s="48"/>
      <c r="K35" s="22"/>
      <c r="L35" s="22"/>
    </row>
    <row r="36" spans="1:12" ht="15" customHeight="1">
      <c r="A36" s="78"/>
      <c r="B36" s="168" t="s">
        <v>145</v>
      </c>
      <c r="C36" s="169"/>
      <c r="D36" s="86" t="s">
        <v>127</v>
      </c>
      <c r="E36" s="86"/>
      <c r="F36" s="178" t="str">
        <f>I37</f>
        <v>SK400A01</v>
      </c>
      <c r="G36" s="179"/>
      <c r="H36" s="48"/>
      <c r="I36" s="47" t="str">
        <f>IF(($D$13&gt;=350)*($D$13&lt;=399),"SK350A01","")</f>
        <v/>
      </c>
      <c r="J36" s="48"/>
      <c r="K36" s="22"/>
      <c r="L36" s="22"/>
    </row>
    <row r="37" spans="1:12" ht="15" customHeight="1" thickBot="1">
      <c r="A37" s="79"/>
      <c r="B37" s="170" t="s">
        <v>146</v>
      </c>
      <c r="C37" s="171"/>
      <c r="D37" s="120" t="s">
        <v>132</v>
      </c>
      <c r="E37" s="120"/>
      <c r="F37" s="180" t="str">
        <f>I38</f>
        <v/>
      </c>
      <c r="G37" s="181"/>
      <c r="H37" s="48"/>
      <c r="I37" s="47" t="str">
        <f>IF(($D$13&gt;=400)*($D$13&lt;=550),"SK400A01","")</f>
        <v>SK400A01</v>
      </c>
      <c r="J37" s="48"/>
      <c r="K37" s="22"/>
    </row>
    <row r="38" spans="1:12" ht="15" customHeight="1">
      <c r="A38" s="172" t="s">
        <v>105</v>
      </c>
      <c r="B38" s="173"/>
      <c r="C38" s="173"/>
      <c r="D38" s="173"/>
      <c r="E38" s="173"/>
      <c r="F38" s="173"/>
      <c r="G38" s="174"/>
      <c r="I38" s="47" t="str">
        <f>IF(D13&gt;580,"the door is too high",IF(($D$13&gt;550)*($D$13&lt;=580),"SK450A01",""))</f>
        <v/>
      </c>
      <c r="J38" s="48"/>
    </row>
    <row r="39" spans="1:12" ht="15" customHeight="1" thickBot="1">
      <c r="A39" s="175"/>
      <c r="B39" s="176"/>
      <c r="C39" s="176"/>
      <c r="D39" s="176"/>
      <c r="E39" s="176"/>
      <c r="F39" s="176"/>
      <c r="G39" s="177"/>
      <c r="J39" s="22"/>
    </row>
    <row r="40" spans="1:12" ht="38.25" customHeight="1">
      <c r="B40" s="162" t="s">
        <v>212</v>
      </c>
      <c r="C40" s="163"/>
      <c r="D40" s="163"/>
      <c r="E40" s="163"/>
      <c r="F40" s="163"/>
      <c r="G40" s="163"/>
      <c r="J40" s="22"/>
    </row>
    <row r="41" spans="1:12">
      <c r="J41" s="22"/>
    </row>
  </sheetData>
  <mergeCells count="50">
    <mergeCell ref="D23:E23"/>
    <mergeCell ref="D24:E24"/>
    <mergeCell ref="D31:E31"/>
    <mergeCell ref="A32:A37"/>
    <mergeCell ref="B32:G32"/>
    <mergeCell ref="B33:C33"/>
    <mergeCell ref="D33:E33"/>
    <mergeCell ref="F33:G33"/>
    <mergeCell ref="B34:C34"/>
    <mergeCell ref="D34:E34"/>
    <mergeCell ref="B37:C37"/>
    <mergeCell ref="D37:E37"/>
    <mergeCell ref="F34:G34"/>
    <mergeCell ref="B35:C35"/>
    <mergeCell ref="D35:E35"/>
    <mergeCell ref="F35:G35"/>
    <mergeCell ref="B40:G40"/>
    <mergeCell ref="D28:E28"/>
    <mergeCell ref="D25:E25"/>
    <mergeCell ref="D26:E26"/>
    <mergeCell ref="D27:E27"/>
    <mergeCell ref="D29:E29"/>
    <mergeCell ref="D30:E30"/>
    <mergeCell ref="A38:G39"/>
    <mergeCell ref="B36:C36"/>
    <mergeCell ref="D36:E36"/>
    <mergeCell ref="F36:G36"/>
    <mergeCell ref="F37:G37"/>
    <mergeCell ref="A1:G7"/>
    <mergeCell ref="J1:K1"/>
    <mergeCell ref="A8:A10"/>
    <mergeCell ref="B8:G8"/>
    <mergeCell ref="D9:D10"/>
    <mergeCell ref="F9:G10"/>
    <mergeCell ref="A14:A31"/>
    <mergeCell ref="B14:G14"/>
    <mergeCell ref="A11:A13"/>
    <mergeCell ref="B11:G11"/>
    <mergeCell ref="B12:B13"/>
    <mergeCell ref="D12:E12"/>
    <mergeCell ref="F12:G13"/>
    <mergeCell ref="D13:E13"/>
    <mergeCell ref="D15:E15"/>
    <mergeCell ref="D16:E16"/>
    <mergeCell ref="D17:E17"/>
    <mergeCell ref="D18:E18"/>
    <mergeCell ref="D19:E19"/>
    <mergeCell ref="D20:E20"/>
    <mergeCell ref="D21:E21"/>
    <mergeCell ref="D22:E22"/>
  </mergeCells>
  <hyperlinks>
    <hyperlink ref="A38" r:id="rId1" xr:uid="{2C48664C-032D-40E1-95E4-6EB0E8CCEEE1}"/>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3313"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3313" r:id="rId5"/>
      </mc:Fallback>
    </mc:AlternateContent>
  </oleObjects>
  <mc:AlternateContent xmlns:mc="http://schemas.openxmlformats.org/markup-compatibility/2006">
    <mc:Choice Requires="x14">
      <controls>
        <mc:AlternateContent xmlns:mc="http://schemas.openxmlformats.org/markup-compatibility/2006">
          <mc:Choice Requires="x14">
            <control shapeId="13314"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0"/>
  <sheetViews>
    <sheetView tabSelected="1" topLeftCell="A14" workbookViewId="0">
      <selection activeCell="H41" sqref="H41"/>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5" t="s">
        <v>119</v>
      </c>
      <c r="B1" s="89"/>
      <c r="C1" s="89"/>
      <c r="D1" s="89"/>
      <c r="E1" s="89"/>
      <c r="F1" s="89"/>
      <c r="G1" s="90"/>
      <c r="J1" s="109" t="s">
        <v>143</v>
      </c>
      <c r="K1" s="109"/>
      <c r="L1" s="13">
        <v>1</v>
      </c>
    </row>
    <row r="2" spans="1:12" ht="19.899999999999999" customHeight="1">
      <c r="A2" s="91"/>
      <c r="B2" s="92"/>
      <c r="C2" s="92"/>
      <c r="D2" s="92"/>
      <c r="E2" s="92"/>
      <c r="F2" s="92"/>
      <c r="G2" s="93"/>
    </row>
    <row r="3" spans="1:12" ht="19.899999999999999" customHeight="1">
      <c r="A3" s="91"/>
      <c r="B3" s="92"/>
      <c r="C3" s="92"/>
      <c r="D3" s="92"/>
      <c r="E3" s="92"/>
      <c r="F3" s="92"/>
      <c r="G3" s="93"/>
    </row>
    <row r="4" spans="1:12" ht="19.899999999999999" customHeight="1">
      <c r="A4" s="91"/>
      <c r="B4" s="92"/>
      <c r="C4" s="92"/>
      <c r="D4" s="92"/>
      <c r="E4" s="92"/>
      <c r="F4" s="92"/>
      <c r="G4" s="93"/>
    </row>
    <row r="5" spans="1:12" ht="19.899999999999999" customHeight="1">
      <c r="A5" s="91"/>
      <c r="B5" s="92"/>
      <c r="C5" s="92"/>
      <c r="D5" s="92"/>
      <c r="E5" s="92"/>
      <c r="F5" s="92"/>
      <c r="G5" s="93"/>
    </row>
    <row r="6" spans="1:12" ht="19.899999999999999" customHeight="1">
      <c r="A6" s="91"/>
      <c r="B6" s="92"/>
      <c r="C6" s="92"/>
      <c r="D6" s="92"/>
      <c r="E6" s="92"/>
      <c r="F6" s="92"/>
      <c r="G6" s="93"/>
    </row>
    <row r="7" spans="1:12" ht="19.899999999999999" customHeight="1" thickBot="1">
      <c r="A7" s="91"/>
      <c r="B7" s="92"/>
      <c r="C7" s="92"/>
      <c r="D7" s="92"/>
      <c r="E7" s="92"/>
      <c r="F7" s="92"/>
      <c r="G7" s="93"/>
      <c r="I7" s="1" t="s">
        <v>95</v>
      </c>
      <c r="J7" s="1" t="s">
        <v>92</v>
      </c>
      <c r="K7" s="1" t="s">
        <v>93</v>
      </c>
      <c r="L7" s="1" t="s">
        <v>94</v>
      </c>
    </row>
    <row r="8" spans="1:12" ht="30" customHeight="1">
      <c r="A8" s="144">
        <v>1</v>
      </c>
      <c r="B8" s="147" t="s">
        <v>201</v>
      </c>
      <c r="C8" s="147"/>
      <c r="D8" s="147"/>
      <c r="E8" s="147"/>
      <c r="F8" s="147"/>
      <c r="G8" s="148"/>
      <c r="I8" s="1" t="s">
        <v>96</v>
      </c>
      <c r="J8" s="12">
        <v>10.9</v>
      </c>
      <c r="K8" s="12">
        <f>B10*C10/1000000*J8+E10/1000</f>
        <v>2.7749999999999999</v>
      </c>
      <c r="L8" s="13" t="s">
        <v>4</v>
      </c>
    </row>
    <row r="9" spans="1:12" ht="19.899999999999999" customHeight="1">
      <c r="A9" s="145"/>
      <c r="B9" s="53" t="s">
        <v>140</v>
      </c>
      <c r="C9" s="53" t="s">
        <v>141</v>
      </c>
      <c r="D9" s="156" t="s">
        <v>0</v>
      </c>
      <c r="E9" s="68" t="s">
        <v>142</v>
      </c>
      <c r="F9" s="158"/>
      <c r="G9" s="159"/>
      <c r="I9" s="1" t="s">
        <v>97</v>
      </c>
      <c r="J9" s="12">
        <v>12.2</v>
      </c>
      <c r="K9" s="12">
        <f>B10*C10/1000000*J9+E10/1000</f>
        <v>3.0999999999999996</v>
      </c>
      <c r="L9" s="12">
        <f>IF(L1=2,K9,L10)</f>
        <v>0</v>
      </c>
    </row>
    <row r="10" spans="1:12" ht="30" customHeight="1" thickBot="1">
      <c r="A10" s="146"/>
      <c r="B10" s="69">
        <v>500</v>
      </c>
      <c r="C10" s="69">
        <v>500</v>
      </c>
      <c r="D10" s="157"/>
      <c r="E10" s="69">
        <v>50</v>
      </c>
      <c r="F10" s="160"/>
      <c r="G10" s="161"/>
      <c r="I10" s="1" t="s">
        <v>98</v>
      </c>
      <c r="J10" s="12">
        <v>12.1</v>
      </c>
      <c r="K10" s="12">
        <f>B10*C10/1000000*J10+E10/1000</f>
        <v>3.0749999999999997</v>
      </c>
      <c r="L10" s="12">
        <f>IF(L1=3,K10,L11)</f>
        <v>0</v>
      </c>
    </row>
    <row r="11" spans="1:12" ht="40.15" customHeight="1">
      <c r="A11" s="144">
        <v>2</v>
      </c>
      <c r="B11" s="147" t="s">
        <v>188</v>
      </c>
      <c r="C11" s="147"/>
      <c r="D11" s="147"/>
      <c r="E11" s="147"/>
      <c r="F11" s="147"/>
      <c r="G11" s="148"/>
      <c r="I11" s="1" t="s">
        <v>99</v>
      </c>
      <c r="J11" s="12">
        <v>14.5</v>
      </c>
      <c r="K11" s="12">
        <f>B10*C10/1000000*J11+E10/1000</f>
        <v>3.6749999999999998</v>
      </c>
      <c r="L11" s="12">
        <f>IF(L1=4,K11,L12)</f>
        <v>0</v>
      </c>
    </row>
    <row r="12" spans="1:12" ht="19.899999999999999" customHeight="1">
      <c r="A12" s="145"/>
      <c r="B12" s="149"/>
      <c r="C12" s="53" t="s">
        <v>103</v>
      </c>
      <c r="D12" s="151" t="s">
        <v>111</v>
      </c>
      <c r="E12" s="151"/>
      <c r="F12" s="151"/>
      <c r="G12" s="152"/>
      <c r="I12" s="1" t="s">
        <v>114</v>
      </c>
      <c r="J12" s="12">
        <v>16.5</v>
      </c>
      <c r="K12" s="12">
        <f>B10*C10/1000000*J12+E10/1000</f>
        <v>4.1749999999999998</v>
      </c>
      <c r="L12" s="12">
        <f>IF(L1=5,K12,L13)</f>
        <v>0</v>
      </c>
    </row>
    <row r="13" spans="1:12" ht="19.899999999999999" customHeight="1" thickBot="1">
      <c r="A13" s="146"/>
      <c r="B13" s="150"/>
      <c r="C13" s="54">
        <f>IF(L1=1,K8,L9)</f>
        <v>2.7749999999999999</v>
      </c>
      <c r="D13" s="155">
        <f>B10</f>
        <v>500</v>
      </c>
      <c r="E13" s="155"/>
      <c r="F13" s="153"/>
      <c r="G13" s="154"/>
      <c r="I13" s="1" t="s">
        <v>100</v>
      </c>
      <c r="J13" s="12">
        <v>11</v>
      </c>
      <c r="K13" s="12">
        <f>B10*C10/1000000*J13+E10/1000</f>
        <v>2.8</v>
      </c>
      <c r="L13" s="12">
        <f>IF(L1=6,K13,L14)</f>
        <v>0</v>
      </c>
    </row>
    <row r="14" spans="1:12" ht="60" customHeight="1">
      <c r="A14" s="77">
        <v>3</v>
      </c>
      <c r="B14" s="142" t="s">
        <v>202</v>
      </c>
      <c r="C14" s="142"/>
      <c r="D14" s="142"/>
      <c r="E14" s="142"/>
      <c r="F14" s="142"/>
      <c r="G14" s="143"/>
      <c r="H14" s="55"/>
      <c r="I14" s="1" t="s">
        <v>101</v>
      </c>
      <c r="J14" s="12">
        <v>12</v>
      </c>
      <c r="K14" s="12">
        <f>B10*C10/1000000*J14+E10/1000</f>
        <v>3.05</v>
      </c>
      <c r="L14" s="12">
        <f>IF(L1=7,K14,L15)</f>
        <v>0</v>
      </c>
    </row>
    <row r="15" spans="1:12" ht="33" customHeight="1">
      <c r="A15" s="78"/>
      <c r="B15" s="56" t="s">
        <v>163</v>
      </c>
      <c r="C15" s="53" t="s">
        <v>203</v>
      </c>
      <c r="D15" s="151" t="s">
        <v>204</v>
      </c>
      <c r="E15" s="151"/>
      <c r="F15" s="57" t="s">
        <v>205</v>
      </c>
      <c r="G15" s="58" t="s">
        <v>206</v>
      </c>
      <c r="H15" s="59"/>
      <c r="I15" s="1" t="s">
        <v>115</v>
      </c>
      <c r="J15" s="12">
        <v>15</v>
      </c>
      <c r="K15" s="12">
        <f>B10*C10/1000000*J15+E10/1000</f>
        <v>3.8</v>
      </c>
      <c r="L15" s="12">
        <f>IF(L1=8,K15,L16)</f>
        <v>0</v>
      </c>
    </row>
    <row r="16" spans="1:12" ht="15" customHeight="1">
      <c r="A16" s="78"/>
      <c r="B16" s="60" t="s">
        <v>147</v>
      </c>
      <c r="C16" s="14" t="s">
        <v>120</v>
      </c>
      <c r="D16" s="86" t="s">
        <v>121</v>
      </c>
      <c r="E16" s="86"/>
      <c r="F16" s="61" t="str">
        <f t="shared" ref="F16:G31" si="0">I18</f>
        <v/>
      </c>
      <c r="G16" s="62" t="str">
        <f t="shared" si="0"/>
        <v/>
      </c>
      <c r="H16" s="47"/>
      <c r="I16" s="1" t="s">
        <v>102</v>
      </c>
      <c r="J16" s="12">
        <v>11.2</v>
      </c>
      <c r="K16" s="12">
        <f>B10*C10/1000000*J16+E10/1000</f>
        <v>2.8499999999999996</v>
      </c>
      <c r="L16" s="12">
        <f>IF(L1=9,K16,L18)</f>
        <v>0</v>
      </c>
    </row>
    <row r="17" spans="1:12" ht="15" customHeight="1">
      <c r="A17" s="78"/>
      <c r="B17" s="60" t="s">
        <v>147</v>
      </c>
      <c r="C17" s="14" t="s">
        <v>122</v>
      </c>
      <c r="D17" s="86" t="s">
        <v>123</v>
      </c>
      <c r="E17" s="86"/>
      <c r="F17" s="61" t="str">
        <f t="shared" si="0"/>
        <v/>
      </c>
      <c r="G17" s="62" t="str">
        <f t="shared" si="0"/>
        <v/>
      </c>
      <c r="H17" s="47"/>
      <c r="J17" s="63"/>
      <c r="K17" s="63"/>
      <c r="L17" s="63"/>
    </row>
    <row r="18" spans="1:12" ht="15" customHeight="1">
      <c r="A18" s="78"/>
      <c r="B18" s="60" t="s">
        <v>148</v>
      </c>
      <c r="C18" s="14" t="s">
        <v>124</v>
      </c>
      <c r="D18" s="86" t="s">
        <v>121</v>
      </c>
      <c r="E18" s="86"/>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8"/>
      <c r="B19" s="60" t="s">
        <v>148</v>
      </c>
      <c r="C19" s="14" t="s">
        <v>125</v>
      </c>
      <c r="D19" s="86" t="s">
        <v>123</v>
      </c>
      <c r="E19" s="86"/>
      <c r="F19" s="61" t="str">
        <f t="shared" si="0"/>
        <v/>
      </c>
      <c r="G19" s="62" t="str">
        <f t="shared" si="0"/>
        <v/>
      </c>
      <c r="H19" s="47"/>
      <c r="I19" s="47" t="str">
        <f>IF(($C$13&gt;1.5)*($C$13&lt;2.5)*($D$13&gt;=350)*($D$13&lt;=399),"SK00AD02A","")</f>
        <v/>
      </c>
      <c r="J19" s="48" t="str">
        <f>IF(($C$13&gt;1.5)*($C$13&lt;2.5)*($D$13&gt;=350)*($D$13&lt;=399),"SK00AD02B","")</f>
        <v/>
      </c>
    </row>
    <row r="20" spans="1:12" ht="15" customHeight="1">
      <c r="A20" s="78"/>
      <c r="B20" s="60" t="s">
        <v>148</v>
      </c>
      <c r="C20" s="14" t="s">
        <v>126</v>
      </c>
      <c r="D20" s="86" t="s">
        <v>127</v>
      </c>
      <c r="E20" s="86"/>
      <c r="F20" s="61" t="str">
        <f t="shared" si="0"/>
        <v>SK00AL02A</v>
      </c>
      <c r="G20" s="62" t="str">
        <f t="shared" si="0"/>
        <v>SK00AL02B</v>
      </c>
      <c r="H20" s="47"/>
      <c r="I20" s="47" t="str">
        <f>IF(($C$13&gt;3.5)*($C$13&lt;7.2)*($D$13&gt;=300)*($D$13&lt;=349),"SK00AL02A","")</f>
        <v/>
      </c>
      <c r="J20" s="48" t="str">
        <f>IF(($C$13&gt;3.5)*($C$13&lt;7.2)*($D$13&gt;=300)*($D$13&lt;=349),"SK00AL02B","")</f>
        <v/>
      </c>
    </row>
    <row r="21" spans="1:12" ht="15" customHeight="1">
      <c r="A21" s="78"/>
      <c r="B21" s="60" t="s">
        <v>149</v>
      </c>
      <c r="C21" s="14" t="s">
        <v>128</v>
      </c>
      <c r="D21" s="86" t="s">
        <v>121</v>
      </c>
      <c r="E21" s="86"/>
      <c r="F21" s="61" t="str">
        <f t="shared" si="0"/>
        <v/>
      </c>
      <c r="G21" s="62" t="str">
        <f t="shared" si="0"/>
        <v/>
      </c>
      <c r="H21" s="47"/>
      <c r="I21" s="47" t="str">
        <f>IF(($C$13&gt;2.5)*($C$13&lt;5)*($D$13&gt;=350)*($D$13&lt;=399),"SK00AL02A","")</f>
        <v/>
      </c>
      <c r="J21" s="48" t="str">
        <f>IF(($C$13&gt;2.5)*($C$13&lt;5)*($D$13&gt;=350)*($D$13&lt;=399),"SK00AL02B","")</f>
        <v/>
      </c>
    </row>
    <row r="22" spans="1:12" ht="15" customHeight="1">
      <c r="A22" s="78"/>
      <c r="B22" s="60" t="s">
        <v>149</v>
      </c>
      <c r="C22" s="14" t="s">
        <v>129</v>
      </c>
      <c r="D22" s="86" t="s">
        <v>123</v>
      </c>
      <c r="E22" s="86"/>
      <c r="F22" s="61" t="str">
        <f t="shared" si="0"/>
        <v/>
      </c>
      <c r="G22" s="62" t="str">
        <f t="shared" si="0"/>
        <v/>
      </c>
      <c r="H22" s="47"/>
      <c r="I22" s="47" t="str">
        <f>IF(($C$13&gt;2)*($C$13&lt;3.5)*($D$13&gt;=400)*($D$13&lt;=550),"SK00AL02A","")</f>
        <v>SK00AL02A</v>
      </c>
      <c r="J22" s="48" t="str">
        <f>IF(($C$13&gt;2)*($C$13&lt;3.5)*($D$13&gt;=400)*($D$13&lt;=550),"SK00AL02B","")</f>
        <v>SK00AL02B</v>
      </c>
    </row>
    <row r="23" spans="1:12" ht="15" customHeight="1">
      <c r="A23" s="78"/>
      <c r="B23" s="60" t="s">
        <v>149</v>
      </c>
      <c r="C23" s="14" t="s">
        <v>130</v>
      </c>
      <c r="D23" s="86" t="s">
        <v>127</v>
      </c>
      <c r="E23" s="86"/>
      <c r="F23" s="61" t="str">
        <f t="shared" si="0"/>
        <v/>
      </c>
      <c r="G23" s="62" t="str">
        <f t="shared" si="0"/>
        <v/>
      </c>
      <c r="H23" s="47"/>
      <c r="I23" s="47" t="str">
        <f>IF(($C$13&gt;6.5)*($C$13&lt;12)*($D$13&gt;=300)*($D$13&lt;=349),"SK00AM02A","")</f>
        <v/>
      </c>
      <c r="J23" s="48" t="str">
        <f>IF(($C$13&gt;6.5)*($C$13&lt;12)*($D$13&gt;=300)*($D$13&lt;=349),"SK00AM02B","")</f>
        <v/>
      </c>
    </row>
    <row r="24" spans="1:12" ht="15" customHeight="1">
      <c r="A24" s="78"/>
      <c r="B24" s="60" t="s">
        <v>149</v>
      </c>
      <c r="C24" s="14" t="s">
        <v>131</v>
      </c>
      <c r="D24" s="86" t="s">
        <v>132</v>
      </c>
      <c r="E24" s="86"/>
      <c r="F24" s="61" t="str">
        <f t="shared" si="0"/>
        <v>SK00AM02A</v>
      </c>
      <c r="G24" s="62" t="str">
        <f t="shared" si="0"/>
        <v>SK00AM02B</v>
      </c>
      <c r="H24" s="47"/>
      <c r="I24" s="47" t="str">
        <f>IF(($C$13&gt;4.5)*($C$13&lt;9)*($D$13&gt;=350)*($D$13&lt;=399),"SK00AM02A","")</f>
        <v/>
      </c>
      <c r="J24" s="48" t="str">
        <f>IF(($C$13&gt;4.5)*($C$13&lt;9)*($D$13&gt;=350)*($D$13&lt;=399),"SK00AM02B","")</f>
        <v/>
      </c>
    </row>
    <row r="25" spans="1:12" ht="15" customHeight="1">
      <c r="A25" s="78"/>
      <c r="B25" s="60" t="s">
        <v>150</v>
      </c>
      <c r="C25" s="14" t="s">
        <v>133</v>
      </c>
      <c r="D25" s="86" t="s">
        <v>121</v>
      </c>
      <c r="E25" s="86"/>
      <c r="F25" s="61" t="str">
        <f t="shared" si="0"/>
        <v/>
      </c>
      <c r="G25" s="62" t="str">
        <f t="shared" si="0"/>
        <v/>
      </c>
      <c r="H25" s="47"/>
      <c r="I25" s="47" t="str">
        <f>IF(($C$13&gt;2.8)*($C$13&lt;6.5)*($D$13&gt;=400)*($D$13&lt;=550),"SK00AM02A","")</f>
        <v/>
      </c>
      <c r="J25" s="48" t="str">
        <f>IF(($C$13&gt;2.8)*($C$13&lt;6.5)*($D$13&gt;=400)*($D$13&lt;=550),"SK00AM02B","")</f>
        <v/>
      </c>
      <c r="K25" s="22"/>
      <c r="L25" s="22"/>
    </row>
    <row r="26" spans="1:12" ht="15" customHeight="1">
      <c r="A26" s="78"/>
      <c r="B26" s="60" t="s">
        <v>150</v>
      </c>
      <c r="C26" s="14" t="s">
        <v>134</v>
      </c>
      <c r="D26" s="86" t="s">
        <v>123</v>
      </c>
      <c r="E26" s="86"/>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8"/>
      <c r="B27" s="60" t="s">
        <v>150</v>
      </c>
      <c r="C27" s="14" t="s">
        <v>135</v>
      </c>
      <c r="D27" s="86" t="s">
        <v>127</v>
      </c>
      <c r="E27" s="86"/>
      <c r="F27" s="61" t="str">
        <f t="shared" si="0"/>
        <v/>
      </c>
      <c r="G27" s="62" t="str">
        <f t="shared" si="0"/>
        <v/>
      </c>
      <c r="H27" s="47"/>
      <c r="I27" s="47" t="str">
        <f>IF(($C$13&gt;11)*($C$13&lt;20)*($D$13&gt;=300)*($D$13&lt;=349),"SK00AH02A","")</f>
        <v/>
      </c>
      <c r="J27" s="48" t="str">
        <f>IF(($C$13&gt;11)*($C$13&lt;20)*($D$13&gt;=300)*($D$13&lt;=349),"SK00AH02B","")</f>
        <v/>
      </c>
      <c r="K27" s="22"/>
      <c r="L27" s="22"/>
    </row>
    <row r="28" spans="1:12" ht="15" customHeight="1">
      <c r="A28" s="78"/>
      <c r="B28" s="60" t="s">
        <v>150</v>
      </c>
      <c r="C28" s="14" t="s">
        <v>136</v>
      </c>
      <c r="D28" s="86" t="s">
        <v>132</v>
      </c>
      <c r="E28" s="86"/>
      <c r="F28" s="61" t="str">
        <f t="shared" si="0"/>
        <v/>
      </c>
      <c r="G28" s="62" t="str">
        <f t="shared" si="0"/>
        <v/>
      </c>
      <c r="H28" s="47"/>
      <c r="I28" s="47" t="str">
        <f>IF(($C$13&gt;8)*($C$13&lt;14.5)*($D$13&gt;=350)*($D$13&lt;=399),"SK00AH02A","")</f>
        <v/>
      </c>
      <c r="J28" s="48" t="str">
        <f>IF(($C$13&gt;8)*($C$13&lt;14.5)*($D$13&gt;=350)*($D$13&lt;=399),"SK00AH02B","")</f>
        <v/>
      </c>
      <c r="K28" s="22"/>
      <c r="L28" s="22"/>
    </row>
    <row r="29" spans="1:12" ht="15" customHeight="1">
      <c r="A29" s="78"/>
      <c r="B29" s="60" t="s">
        <v>151</v>
      </c>
      <c r="C29" s="14" t="s">
        <v>137</v>
      </c>
      <c r="D29" s="86" t="s">
        <v>123</v>
      </c>
      <c r="E29" s="86"/>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8"/>
      <c r="B30" s="60" t="s">
        <v>151</v>
      </c>
      <c r="C30" s="14" t="s">
        <v>138</v>
      </c>
      <c r="D30" s="86" t="s">
        <v>127</v>
      </c>
      <c r="E30" s="86"/>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8"/>
      <c r="B31" s="64" t="s">
        <v>151</v>
      </c>
      <c r="C31" s="65" t="s">
        <v>139</v>
      </c>
      <c r="D31" s="164" t="s">
        <v>132</v>
      </c>
      <c r="E31" s="164"/>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7">
        <v>4</v>
      </c>
      <c r="B32" s="142" t="s">
        <v>207</v>
      </c>
      <c r="C32" s="142"/>
      <c r="D32" s="142"/>
      <c r="E32" s="142"/>
      <c r="F32" s="142"/>
      <c r="G32" s="143"/>
      <c r="H32" s="48"/>
      <c r="I32" s="47" t="str">
        <f>IF(($C$13&gt;10.5)*($C$13&lt;20)*($D$13&gt;=400)*($D$13&lt;=550),"SK00AC02A","")</f>
        <v/>
      </c>
      <c r="J32" s="48" t="str">
        <f>IF(($C$13&gt;10.5)*($C$13&lt;20)*($D$13&gt;=400)*($D$13&lt;=550),"SK00AC02B","")</f>
        <v/>
      </c>
      <c r="K32" s="22"/>
      <c r="L32" s="22"/>
    </row>
    <row r="33" spans="1:12" ht="19.899999999999999" customHeight="1">
      <c r="A33" s="78"/>
      <c r="B33" s="165" t="s">
        <v>208</v>
      </c>
      <c r="C33" s="166"/>
      <c r="D33" s="151" t="s">
        <v>197</v>
      </c>
      <c r="E33" s="151"/>
      <c r="F33" s="165" t="s">
        <v>209</v>
      </c>
      <c r="G33" s="167"/>
      <c r="H33" s="48"/>
      <c r="I33" s="47" t="str">
        <f>IF(C13&gt;16.5," the door is too heavy",IF(($C$13&gt;8.3)*($C$13&lt;16.5)*($D$13&gt;=450)*($D$13&lt;=580),"SK00AC02A",""))</f>
        <v/>
      </c>
      <c r="J33" s="47" t="str">
        <f>IF(C13&gt;16.5," the door is too heavy",IF(($C$13&gt;8.3)*($C$13&lt;16.5)*($D$13&gt;=450)*($D$13&lt;=580),"SK00AC02B",""))</f>
        <v/>
      </c>
      <c r="K33" s="22"/>
      <c r="L33" s="22"/>
    </row>
    <row r="34" spans="1:12" ht="15" customHeight="1">
      <c r="A34" s="78"/>
      <c r="B34" s="168" t="s">
        <v>210</v>
      </c>
      <c r="C34" s="169"/>
      <c r="D34" s="86" t="s">
        <v>121</v>
      </c>
      <c r="E34" s="86"/>
      <c r="F34" s="178" t="str">
        <f>I35</f>
        <v/>
      </c>
      <c r="G34" s="179"/>
      <c r="H34" s="48"/>
      <c r="I34" s="47"/>
      <c r="J34" s="48"/>
      <c r="K34" s="22"/>
      <c r="L34" s="22"/>
    </row>
    <row r="35" spans="1:12" ht="15" customHeight="1">
      <c r="A35" s="78"/>
      <c r="B35" s="168" t="s">
        <v>144</v>
      </c>
      <c r="C35" s="169"/>
      <c r="D35" s="86" t="s">
        <v>123</v>
      </c>
      <c r="E35" s="86"/>
      <c r="F35" s="178" t="str">
        <f t="shared" ref="F35:F36" si="1">I36</f>
        <v/>
      </c>
      <c r="G35" s="179"/>
      <c r="H35" s="48"/>
      <c r="I35" s="47" t="str">
        <f>IF(D13&lt;300,"the door is too short",IF(($D$13&gt;=300)*($D$13&lt;=349),"SK300A01",""))</f>
        <v/>
      </c>
      <c r="J35" s="48"/>
      <c r="K35" s="22"/>
      <c r="L35" s="22"/>
    </row>
    <row r="36" spans="1:12" ht="15" customHeight="1">
      <c r="A36" s="78"/>
      <c r="B36" s="168" t="s">
        <v>145</v>
      </c>
      <c r="C36" s="169"/>
      <c r="D36" s="86" t="s">
        <v>127</v>
      </c>
      <c r="E36" s="86"/>
      <c r="F36" s="178" t="str">
        <f t="shared" si="1"/>
        <v>SK400A01</v>
      </c>
      <c r="G36" s="179"/>
      <c r="H36" s="48"/>
      <c r="I36" s="47" t="str">
        <f>IF(($D$13&gt;=350)*($D$13&lt;=399),"SK350A01","")</f>
        <v/>
      </c>
      <c r="J36" s="48"/>
      <c r="K36" s="22"/>
      <c r="L36" s="22"/>
    </row>
    <row r="37" spans="1:12" ht="15" customHeight="1" thickBot="1">
      <c r="A37" s="79"/>
      <c r="B37" s="170" t="s">
        <v>146</v>
      </c>
      <c r="C37" s="171"/>
      <c r="D37" s="120" t="s">
        <v>132</v>
      </c>
      <c r="E37" s="120"/>
      <c r="F37" s="180" t="str">
        <f>I38</f>
        <v/>
      </c>
      <c r="G37" s="181"/>
      <c r="H37" s="48"/>
      <c r="I37" s="47" t="str">
        <f>IF(($D$13&gt;=400)*($D$13&lt;=550),"SK400A01","")</f>
        <v>SK400A01</v>
      </c>
      <c r="J37" s="48"/>
      <c r="K37" s="22"/>
    </row>
    <row r="38" spans="1:12" ht="15" customHeight="1">
      <c r="A38" s="172" t="s">
        <v>105</v>
      </c>
      <c r="B38" s="173"/>
      <c r="C38" s="173"/>
      <c r="D38" s="173"/>
      <c r="E38" s="173"/>
      <c r="F38" s="173"/>
      <c r="G38" s="174"/>
      <c r="I38" s="47" t="str">
        <f>IF(D13&gt;580,"the door is too high",IF(($D$13&gt;550)*($D$13&lt;=580),"SK450A01",""))</f>
        <v/>
      </c>
      <c r="J38" s="48"/>
    </row>
    <row r="39" spans="1:12" ht="15" customHeight="1" thickBot="1">
      <c r="A39" s="175"/>
      <c r="B39" s="176"/>
      <c r="C39" s="176"/>
      <c r="D39" s="176"/>
      <c r="E39" s="176"/>
      <c r="F39" s="176"/>
      <c r="G39" s="177"/>
      <c r="J39" s="22"/>
    </row>
    <row r="40" spans="1:12" ht="29.25" customHeight="1">
      <c r="B40" s="182" t="s">
        <v>211</v>
      </c>
      <c r="C40" s="182"/>
      <c r="D40" s="182"/>
      <c r="E40" s="182"/>
      <c r="F40" s="182"/>
      <c r="G40" s="182"/>
    </row>
  </sheetData>
  <mergeCells count="50">
    <mergeCell ref="B40:G40"/>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4" type="noConversion"/>
  <hyperlinks>
    <hyperlink ref="A38" r:id="rId1" xr:uid="{3D2FB998-2BD8-4BF8-8290-DA999B39067A}"/>
  </hyperlinks>
  <pageMargins left="0.7" right="0.7" top="0.75" bottom="0.75" header="0.3" footer="0.3"/>
  <drawing r:id="rId2"/>
  <legacyDrawing r:id="rId3"/>
  <oleObjects>
    <mc:AlternateContent xmlns:mc="http://schemas.openxmlformats.org/markup-compatibility/2006">
      <mc:Choice Requires="x14">
        <oleObject progId="CorelDraw.Graphic.18" shapeId="12289" r:id="rId4">
          <objectPr defaultSize="0" autoPict="0" r:id="rId5">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4"/>
      </mc:Fallback>
    </mc:AlternateContent>
  </oleObjects>
  <mc:AlternateContent xmlns:mc="http://schemas.openxmlformats.org/markup-compatibility/2006">
    <mc:Choice Requires="x14">
      <controls>
        <mc:AlternateContent xmlns:mc="http://schemas.openxmlformats.org/markup-compatibility/2006">
          <mc:Choice Requires="x14">
            <control shapeId="12290" r:id="rId6"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K3AAJEHMUSDA-1039207618-190</_dlc_DocId>
    <_dlc_DocIdUrl xmlns="6e264de0-91bf-42f3-abe1-69b10d1026c7">
      <Url>https://marmouris.sharepoint.com/sites/files/_layouts/15/DocIdRedir.aspx?ID=K3AAJEHMUSDA-1039207618-190</Url>
      <Description>K3AAJEHMUSDA-1039207618-190</Description>
    </_dlc_DocIdUrl>
    <TaxCatchAll xmlns="6e264de0-91bf-42f3-abe1-69b10d1026c7" xsi:nil="true"/>
    <ObjName xmlns="49bc0dba-52c4-47b1-a8b1-323b5e114931">ΜΗΧANIΣΜΟΣ ΑΝΥΨΩΣΗΣ ΓΙΑ ΠΟΡΤΑΚΙ Υ300-580mm ΚΑΙ ΠΛΑΤΟΣ ΕΩΣ 1800mm (ΜΕΡΟΣ Α) STRONG ΛΕΥΚΟΣ DTC</ObjName>
    <ObjRemarks xmlns="49bc0dba-52c4-47b1-a8b1-323b5e114931" xsi:nil="true"/>
    <ObjCategory xmlns="49bc0dba-52c4-47b1-a8b1-323b5e114931">Σχεδιάγραμμα</ObjCategory>
    <ObjColor xmlns="49bc0dba-52c4-47b1-a8b1-323b5e114931" xsi:nil="true"/>
    <ObjCode xmlns="49bc0dba-52c4-47b1-a8b1-323b5e114931">408-SK00AH02A</ObjCode>
    <ObjFilename xmlns="49bc0dba-52c4-47b1-a8b1-323b5e114931">Calculator TOP STAYS-SK</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94043FE-1F82-4413-965C-DB33C58D7AA0}">
  <ds:schemaRefs>
    <ds:schemaRef ds:uri="http://schemas.microsoft.com/sharepoint/v3/contenttype/forms"/>
  </ds:schemaRefs>
</ds:datastoreItem>
</file>

<file path=customXml/itemProps2.xml><?xml version="1.0" encoding="utf-8"?>
<ds:datastoreItem xmlns:ds="http://schemas.openxmlformats.org/officeDocument/2006/customXml" ds:itemID="{8A4A2126-FDB3-41D5-8335-57AF68CA0ABD}">
  <ds:schemaRefs>
    <ds:schemaRef ds:uri="http://schemas.microsoft.com/sharepoint/events"/>
  </ds:schemaRefs>
</ds:datastoreItem>
</file>

<file path=customXml/itemProps3.xml><?xml version="1.0" encoding="utf-8"?>
<ds:datastoreItem xmlns:ds="http://schemas.openxmlformats.org/officeDocument/2006/customXml" ds:itemID="{3BF3C516-0CAA-41A8-9722-08289C8000AA}"/>
</file>

<file path=customXml/itemProps4.xml><?xml version="1.0" encoding="utf-8"?>
<ds:datastoreItem xmlns:ds="http://schemas.openxmlformats.org/officeDocument/2006/customXml" ds:itemID="{98DF91B8-FD36-41CD-90D1-E825C128D45A}">
  <ds:schemaRefs>
    <ds:schemaRef ds:uri="http://schemas.microsoft.com/office/2006/metadata/properties"/>
    <ds:schemaRef ds:uri="http://schemas.microsoft.com/office/infopath/2007/PartnerControls"/>
    <ds:schemaRef ds:uri="6e264de0-91bf-42f3-abe1-69b10d1026c7"/>
    <ds:schemaRef ds:uri="49bc0dba-52c4-47b1-a8b1-323b5e1149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vt:lpstr>
      <vt:lpstr>SE</vt:lpstr>
      <vt:lpstr>ST</vt:lpstr>
      <vt:lpstr>SK En</vt:lpstr>
      <vt:lpstr>SK Gr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2026-01-22T06:19:38Z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6d1042a3-9fe0-4597-a1de-95b3c416736e</vt:lpwstr>
  </property>
  <property fmtid="{D5CDD505-2E9C-101B-9397-08002B2CF9AE}" pid="4" name="MediaServiceImageTags">
    <vt:lpwstr/>
  </property>
</Properties>
</file>